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 yWindow="65380" windowWidth="19212" windowHeight="10248" tabRatio="418" activeTab="0"/>
  </bookViews>
  <sheets>
    <sheet name="INDEX" sheetId="1" r:id="rId1"/>
    <sheet name="General Calc's" sheetId="2" r:id="rId2"/>
    <sheet name="Wine Calc" sheetId="3" r:id="rId3"/>
    <sheet name="James' Acid Calculator" sheetId="4" r:id="rId4"/>
    <sheet name="Cocktail Calc" sheetId="5" r:id="rId5"/>
    <sheet name="Jam" sheetId="6" r:id="rId6"/>
  </sheets>
  <definedNames>
    <definedName name="_xlnm.Print_Area" localSheetId="4">'Cocktail Calc'!$A$1:$W$84</definedName>
    <definedName name="_xlnm.Print_Area" localSheetId="1">'General Calc''s'!$A$1:$AK$77</definedName>
    <definedName name="_xlnm.Print_Area" localSheetId="0">'INDEX'!$A$2:$J$45</definedName>
    <definedName name="_xlnm.Print_Area" localSheetId="5">'Jam'!$B$1:$R$100</definedName>
    <definedName name="_xlnm.Print_Area" localSheetId="3">'James'' Acid Calculator'!$A$1:$H$87</definedName>
    <definedName name="_xlnm.Print_Area" localSheetId="2">'Wine Calc'!$A$1:$V$261</definedName>
  </definedNames>
  <calcPr fullCalcOnLoad="1"/>
</workbook>
</file>

<file path=xl/sharedStrings.xml><?xml version="1.0" encoding="utf-8"?>
<sst xmlns="http://schemas.openxmlformats.org/spreadsheetml/2006/main" count="1453" uniqueCount="818">
  <si>
    <t>General Calc's</t>
  </si>
  <si>
    <t>Wine Calculator</t>
  </si>
  <si>
    <t>Jam Calculator</t>
  </si>
  <si>
    <t>www.PetesPintPot.co.uk</t>
  </si>
  <si>
    <t>Main Contents/Notes:-</t>
  </si>
  <si>
    <t>Quick ABV Estimator</t>
  </si>
  <si>
    <t>Priming Sparkling Wines, Ciders, Meads &amp; Beers</t>
  </si>
  <si>
    <t>Hydrometer Temperature Correction</t>
  </si>
  <si>
    <t>Priming Ciders &amp; Sparkling Wines</t>
  </si>
  <si>
    <t>Fortifying Wines</t>
  </si>
  <si>
    <t>As it says on the jar!</t>
  </si>
  <si>
    <t>Calorie/unit counter.</t>
  </si>
  <si>
    <t>Calorie/Unit Counter (After Priming)</t>
  </si>
  <si>
    <t>jamesbsmith@hotmail.com.</t>
  </si>
  <si>
    <t>david.barrow@live.co.uk</t>
  </si>
  <si>
    <t>www.yobrew.co.uk</t>
  </si>
  <si>
    <t>General Converters</t>
  </si>
  <si>
    <r>
      <t>Disclaimer</t>
    </r>
    <r>
      <rPr>
        <sz val="8"/>
        <color indexed="23"/>
        <rFont val="Times New Roman"/>
        <family val="1"/>
      </rPr>
      <t xml:space="preserve">: </t>
    </r>
    <r>
      <rPr>
        <sz val="8"/>
        <color indexed="8"/>
        <rFont val="Times New Roman"/>
        <family val="1"/>
      </rPr>
      <t>No responsibility is assumed or implied as a result of using this spreadsheet.</t>
    </r>
  </si>
  <si>
    <t>Volume Converters</t>
  </si>
  <si>
    <t>6 US gallons = 5 UK = 23 litres</t>
  </si>
  <si>
    <t>1 US gallon = 19 litres</t>
  </si>
  <si>
    <t>1 UK/Euro. litre = 1 US liter</t>
  </si>
  <si>
    <t>(Very Approx. Figures)</t>
  </si>
  <si>
    <t>Weight Converters</t>
  </si>
  <si>
    <t>1Kg = 0.4536 lb</t>
  </si>
  <si>
    <t>Wt./Vol. Conversion</t>
  </si>
  <si>
    <t xml:space="preserve">Temperature Converter </t>
  </si>
  <si>
    <t xml:space="preserve">OR </t>
  </si>
  <si>
    <t>Height</t>
  </si>
  <si>
    <t>Weight</t>
  </si>
  <si>
    <t>BMI (Body Mass Index)  =</t>
  </si>
  <si>
    <t xml:space="preserve">Less than 20 </t>
  </si>
  <si>
    <t>Between 20-25</t>
  </si>
  <si>
    <t>Between 25-30</t>
  </si>
  <si>
    <t>Over 30</t>
  </si>
  <si>
    <t xml:space="preserve">ALTERNATIVELY, your waist to height ratio (metric or inches) should not generally exceed 50%. </t>
  </si>
  <si>
    <t>Waist measurement</t>
  </si>
  <si>
    <t>Initial gravity (stage 1)</t>
  </si>
  <si>
    <t>Measured gravity (stage 2)</t>
  </si>
  <si>
    <t>Measured gravity (stage 3)</t>
  </si>
  <si>
    <t>Final measured gravity</t>
  </si>
  <si>
    <t>US Gall</t>
  </si>
  <si>
    <t>US Pt.</t>
  </si>
  <si>
    <t>g</t>
  </si>
  <si>
    <t>Kg</t>
  </si>
  <si>
    <r>
      <t xml:space="preserve">lb/gal </t>
    </r>
    <r>
      <rPr>
        <sz val="10"/>
        <color indexed="10"/>
        <rFont val="Times New Roman"/>
        <family val="1"/>
      </rPr>
      <t>Imp</t>
    </r>
  </si>
  <si>
    <r>
      <t xml:space="preserve">lb/gal </t>
    </r>
    <r>
      <rPr>
        <sz val="10"/>
        <color indexed="10"/>
        <rFont val="Times New Roman"/>
        <family val="1"/>
      </rPr>
      <t>US</t>
    </r>
  </si>
  <si>
    <t>°C</t>
  </si>
  <si>
    <t>Original Gravity</t>
  </si>
  <si>
    <t>Final Gravity</t>
  </si>
  <si>
    <t>1 tsp sugar =</t>
  </si>
  <si>
    <t>Sugar weight/vol.</t>
  </si>
  <si>
    <t>Wt. g</t>
  </si>
  <si>
    <t>METRIC</t>
  </si>
  <si>
    <t>m</t>
  </si>
  <si>
    <t>Underweight</t>
  </si>
  <si>
    <t>Normal</t>
  </si>
  <si>
    <t>Overweight</t>
  </si>
  <si>
    <t>Obese</t>
  </si>
  <si>
    <t>cm</t>
  </si>
  <si>
    <t>For use when sugars etc. are added at different stages or times.</t>
  </si>
  <si>
    <t>Litre</t>
  </si>
  <si>
    <t>Wt.</t>
  </si>
  <si>
    <t>Wt/Vol</t>
  </si>
  <si>
    <t>Deg</t>
  </si>
  <si>
    <t>Unit</t>
  </si>
  <si>
    <t>IMPERIAL</t>
  </si>
  <si>
    <t>ft</t>
  </si>
  <si>
    <t>st</t>
  </si>
  <si>
    <t>Amended gravity</t>
  </si>
  <si>
    <t>UK Gall</t>
  </si>
  <si>
    <t>UK Pt.</t>
  </si>
  <si>
    <t>lb</t>
  </si>
  <si>
    <t>Kg/l</t>
  </si>
  <si>
    <t>°F</t>
  </si>
  <si>
    <t>tsp</t>
  </si>
  <si>
    <t>ml</t>
  </si>
  <si>
    <t>in</t>
  </si>
  <si>
    <t>litres</t>
  </si>
  <si>
    <t>Bottle/glass size</t>
  </si>
  <si>
    <t xml:space="preserve"> ml</t>
  </si>
  <si>
    <r>
      <t xml:space="preserve"> UK </t>
    </r>
    <r>
      <rPr>
        <sz val="10"/>
        <color indexed="8"/>
        <rFont val="Times New Roman"/>
        <family val="1"/>
      </rPr>
      <t>pt</t>
    </r>
  </si>
  <si>
    <r>
      <t xml:space="preserve"> US</t>
    </r>
    <r>
      <rPr>
        <sz val="10"/>
        <color indexed="8"/>
        <rFont val="Times New Roman"/>
        <family val="1"/>
      </rPr>
      <t xml:space="preserve"> fl oz</t>
    </r>
  </si>
  <si>
    <t>Length/Height Conversions</t>
  </si>
  <si>
    <t>WOMEN</t>
  </si>
  <si>
    <t>&lt;35</t>
  </si>
  <si>
    <t>35-42</t>
  </si>
  <si>
    <t>42-46</t>
  </si>
  <si>
    <t>46-49</t>
  </si>
  <si>
    <t>49-54</t>
  </si>
  <si>
    <t>54-58</t>
  </si>
  <si>
    <t>&gt;58</t>
  </si>
  <si>
    <t>Effective O. G.</t>
  </si>
  <si>
    <t>End gravity</t>
  </si>
  <si>
    <t xml:space="preserve">       lb       /      oz</t>
  </si>
  <si>
    <r>
      <t xml:space="preserve">oz/pt </t>
    </r>
    <r>
      <rPr>
        <sz val="10"/>
        <color indexed="10"/>
        <rFont val="Times New Roman"/>
        <family val="1"/>
      </rPr>
      <t>Imp</t>
    </r>
  </si>
  <si>
    <r>
      <t>oz/pt</t>
    </r>
    <r>
      <rPr>
        <sz val="10"/>
        <color indexed="10"/>
        <rFont val="Times New Roman"/>
        <family val="1"/>
      </rPr>
      <t xml:space="preserve"> US</t>
    </r>
  </si>
  <si>
    <t>Waist to Height Ratio</t>
  </si>
  <si>
    <t>Abnormally thin</t>
  </si>
  <si>
    <t>Extremely thin</t>
  </si>
  <si>
    <t>Slender &amp; healthy</t>
  </si>
  <si>
    <t>Healthy</t>
  </si>
  <si>
    <t>Seriously Overweight</t>
  </si>
  <si>
    <t>Morbidly Obese</t>
  </si>
  <si>
    <t>Priming sugar (sucrose) used =</t>
  </si>
  <si>
    <t xml:space="preserve">   This is equivalent to</t>
  </si>
  <si>
    <t>OR, for a</t>
  </si>
  <si>
    <t>use</t>
  </si>
  <si>
    <t>No. of bottles/glasses</t>
  </si>
  <si>
    <t>g/l</t>
  </si>
  <si>
    <t>UK</t>
  </si>
  <si>
    <t>% ABV</t>
  </si>
  <si>
    <t>in only</t>
  </si>
  <si>
    <t>MEN</t>
  </si>
  <si>
    <t>35-43</t>
  </si>
  <si>
    <t>43-46</t>
  </si>
  <si>
    <t>46-53</t>
  </si>
  <si>
    <t>53-58</t>
  </si>
  <si>
    <t xml:space="preserve"> 58-63</t>
  </si>
  <si>
    <t>&gt;63</t>
  </si>
  <si>
    <t>Copyright Peter J. Laycock 28~10~'8</t>
  </si>
  <si>
    <t>Additional help supplied by David at</t>
  </si>
  <si>
    <t>Check for the latest version on</t>
  </si>
  <si>
    <t>Units</t>
  </si>
  <si>
    <t>level 5ml tsp/litre</t>
  </si>
  <si>
    <t>ml for a bottle</t>
  </si>
  <si>
    <t>oz</t>
  </si>
  <si>
    <r>
      <t>fl oz</t>
    </r>
    <r>
      <rPr>
        <sz val="10"/>
        <color indexed="10"/>
        <rFont val="Times New Roman"/>
        <family val="1"/>
      </rPr>
      <t xml:space="preserve"> Imp</t>
    </r>
  </si>
  <si>
    <r>
      <t xml:space="preserve">fl oz </t>
    </r>
    <r>
      <rPr>
        <sz val="10"/>
        <color indexed="10"/>
        <rFont val="Times New Roman"/>
        <family val="1"/>
      </rPr>
      <t>US</t>
    </r>
  </si>
  <si>
    <t>% ABW</t>
  </si>
  <si>
    <t>Calibrated Temp.</t>
  </si>
  <si>
    <t>Liquid Temp.</t>
  </si>
  <si>
    <t>Corrected Gravity</t>
  </si>
  <si>
    <t>Fluid</t>
  </si>
  <si>
    <t>%</t>
  </si>
  <si>
    <t>US</t>
  </si>
  <si>
    <t xml:space="preserve"> UK pt</t>
  </si>
  <si>
    <r>
      <t xml:space="preserve"> US </t>
    </r>
    <r>
      <rPr>
        <sz val="10"/>
        <color indexed="8"/>
        <rFont val="Times New Roman"/>
        <family val="1"/>
      </rPr>
      <t>pt</t>
    </r>
  </si>
  <si>
    <t>Free to use - Not for sale.</t>
  </si>
  <si>
    <t>ml alcohol</t>
  </si>
  <si>
    <t>ft  /  in</t>
  </si>
  <si>
    <t xml:space="preserve">°C </t>
  </si>
  <si>
    <t xml:space="preserve">°F </t>
  </si>
  <si>
    <t>k</t>
  </si>
  <si>
    <t>Temp</t>
  </si>
  <si>
    <t>Vol.</t>
  </si>
  <si>
    <t>CO2</t>
  </si>
  <si>
    <t>Assumed Waste</t>
  </si>
  <si>
    <t>OR</t>
  </si>
  <si>
    <r>
      <t>▼</t>
    </r>
    <r>
      <rPr>
        <sz val="9"/>
        <color indexed="10"/>
        <rFont val="Times New Roman"/>
        <family val="1"/>
      </rPr>
      <t xml:space="preserve"> Technically rhubarb is a vegetable. DO NOT USE ALUMINIUM utensils as the acids present in this vegetable will react with this &amp; </t>
    </r>
    <r>
      <rPr>
        <b/>
        <i/>
        <u val="single"/>
        <sz val="9"/>
        <color indexed="10"/>
        <rFont val="Times New Roman"/>
        <family val="1"/>
      </rPr>
      <t>may</t>
    </r>
    <r>
      <rPr>
        <sz val="9"/>
        <color indexed="10"/>
        <rFont val="Times New Roman"/>
        <family val="1"/>
      </rPr>
      <t xml:space="preserve"> ultimately lead to Alzheimer's disease.</t>
    </r>
  </si>
  <si>
    <t>O. G.</t>
  </si>
  <si>
    <t>F. G. (Before sweetening)</t>
  </si>
  <si>
    <t>F. G. (After sweetening)</t>
  </si>
  <si>
    <t>Volume (finished/effective starting)</t>
  </si>
  <si>
    <t>FRUIT</t>
  </si>
  <si>
    <t>APPLE</t>
  </si>
  <si>
    <t>APRICOT</t>
  </si>
  <si>
    <t>BANANA</t>
  </si>
  <si>
    <t>BILBERRY</t>
  </si>
  <si>
    <t>BLACKBERRY</t>
  </si>
  <si>
    <t>BLACKCURRANT</t>
  </si>
  <si>
    <t>BLUEBERRY</t>
  </si>
  <si>
    <t>CHERRY</t>
  </si>
  <si>
    <t>CRANBERRY</t>
  </si>
  <si>
    <t>DAMSON</t>
  </si>
  <si>
    <t>DATE</t>
  </si>
  <si>
    <t>ELDERBERRY</t>
  </si>
  <si>
    <t>FIGS</t>
  </si>
  <si>
    <t>GOOSEBERRY</t>
  </si>
  <si>
    <t>GRAPE</t>
  </si>
  <si>
    <t>GRAPE JUICE</t>
  </si>
  <si>
    <t>GRAPEFRUIT</t>
  </si>
  <si>
    <t>GREENGAGE</t>
  </si>
  <si>
    <t>GUAVA</t>
  </si>
  <si>
    <t>KIWIFRUIT</t>
  </si>
  <si>
    <t>LEMON</t>
  </si>
  <si>
    <t>LITCHI (LYCHEE)</t>
  </si>
  <si>
    <t>LOGANBERRY</t>
  </si>
  <si>
    <t>MANGO</t>
  </si>
  <si>
    <t>MEDLAR</t>
  </si>
  <si>
    <t>MELON</t>
  </si>
  <si>
    <t>MULBERRY</t>
  </si>
  <si>
    <t>NECTARINE</t>
  </si>
  <si>
    <t>ORANGE</t>
  </si>
  <si>
    <t>OTHER</t>
  </si>
  <si>
    <t>PAPAYA (Pawpaw)</t>
  </si>
  <si>
    <t>PASSION FRUIT</t>
  </si>
  <si>
    <t>PEACH</t>
  </si>
  <si>
    <t>PEAR</t>
  </si>
  <si>
    <t>PINEAPPLE</t>
  </si>
  <si>
    <t>PLUM</t>
  </si>
  <si>
    <t>PRUNES</t>
  </si>
  <si>
    <t>QUINCE</t>
  </si>
  <si>
    <t>RAIS/SULT/CURR.</t>
  </si>
  <si>
    <t>RASPBERRY</t>
  </si>
  <si>
    <t>REDCURRANT</t>
  </si>
  <si>
    <t>Assume that 1K gives</t>
  </si>
  <si>
    <t>SLOE</t>
  </si>
  <si>
    <t>STRAWBERRY</t>
  </si>
  <si>
    <t>TANGERINE</t>
  </si>
  <si>
    <t>WATERMELON</t>
  </si>
  <si>
    <t>WHITECURRANT</t>
  </si>
  <si>
    <t>TINS</t>
  </si>
  <si>
    <t>(Check labels for sugar content)</t>
  </si>
  <si>
    <t>APRICOTS</t>
  </si>
  <si>
    <t>FRUIT SALAD</t>
  </si>
  <si>
    <t>BLACK CHERRIES</t>
  </si>
  <si>
    <t>PEACHES</t>
  </si>
  <si>
    <t>PEARS</t>
  </si>
  <si>
    <t>RHUBARB</t>
  </si>
  <si>
    <t>STRAWBERRIES</t>
  </si>
  <si>
    <t>JUICES</t>
  </si>
  <si>
    <t>(Check labels for sugar &amp; preservatives)</t>
  </si>
  <si>
    <t>"FIVE ALIVE"</t>
  </si>
  <si>
    <t>RIBENA</t>
  </si>
  <si>
    <t>SUMMER FRUITS</t>
  </si>
  <si>
    <t>PRUNE</t>
  </si>
  <si>
    <t xml:space="preserve">OTHER </t>
  </si>
  <si>
    <t>VEGETABLES</t>
  </si>
  <si>
    <t>BEETROOT</t>
  </si>
  <si>
    <t>CARROT</t>
  </si>
  <si>
    <t>CELERY</t>
  </si>
  <si>
    <t>MARROW</t>
  </si>
  <si>
    <t>PARSNIP</t>
  </si>
  <si>
    <t>POTATO</t>
  </si>
  <si>
    <t>COOK</t>
  </si>
  <si>
    <t>EAT</t>
  </si>
  <si>
    <t>CRAB</t>
  </si>
  <si>
    <t>FLESH</t>
  </si>
  <si>
    <t>DRIED</t>
  </si>
  <si>
    <t>BLACK</t>
  </si>
  <si>
    <t>RED</t>
  </si>
  <si>
    <t>JUICE</t>
  </si>
  <si>
    <t>NO SKIN</t>
  </si>
  <si>
    <t>WHITE</t>
  </si>
  <si>
    <t>CONC.</t>
  </si>
  <si>
    <t>Wt</t>
  </si>
  <si>
    <t>ml juice</t>
  </si>
  <si>
    <t>Vol</t>
  </si>
  <si>
    <t xml:space="preserve"> Name:- </t>
  </si>
  <si>
    <t xml:space="preserve"> ALCOHOL </t>
  </si>
  <si>
    <t xml:space="preserve"> ACIDITY </t>
  </si>
  <si>
    <t xml:space="preserve"> TANNIN </t>
  </si>
  <si>
    <t xml:space="preserve"> STYLE</t>
  </si>
  <si>
    <t>Sugar</t>
  </si>
  <si>
    <t>OTHER ADDED INGREDIENTS</t>
  </si>
  <si>
    <t>ADDING SWEETENING SUGAR</t>
  </si>
  <si>
    <t>Sweetening sugar to be used</t>
  </si>
  <si>
    <t>Style/Approx. Commercial equiv.</t>
  </si>
  <si>
    <t>Approx sweetening sugar (g/4.5 l)</t>
  </si>
  <si>
    <t>Approx sweetening sugar (g/750ml)</t>
  </si>
  <si>
    <t xml:space="preserve">FINAL BOTTLED VOLUME </t>
  </si>
  <si>
    <t>Assume a "wastage" vol. of</t>
  </si>
  <si>
    <t>Assume ingredient "wastage" vol. of</t>
  </si>
  <si>
    <t>Giving a design must volume of</t>
  </si>
  <si>
    <t>ACTUAL MUST VOLUME USED</t>
  </si>
  <si>
    <t>CALORIE/UNIT COUNTER</t>
  </si>
  <si>
    <t>PRIMING CIDERS &amp; SPARKLING WINES</t>
  </si>
  <si>
    <t>To be used for UNSWEETENED ciders, meads &amp; sparkling wines ONLY.</t>
  </si>
  <si>
    <t>PRIMING SUGAR</t>
  </si>
  <si>
    <t>OR, for a bottle sized</t>
  </si>
  <si>
    <t>Brewing/resting temp</t>
  </si>
  <si>
    <r>
      <t>Carbonation (Volumes CO</t>
    </r>
    <r>
      <rPr>
        <sz val="7"/>
        <color indexed="8"/>
        <rFont val="Times New Roman"/>
        <family val="1"/>
      </rPr>
      <t>2</t>
    </r>
    <r>
      <rPr>
        <sz val="10.5"/>
        <color indexed="8"/>
        <rFont val="Times New Roman"/>
        <family val="1"/>
      </rPr>
      <t>)</t>
    </r>
  </si>
  <si>
    <t>Carbonation PSI</t>
  </si>
  <si>
    <t>O. G. (After priming)</t>
  </si>
  <si>
    <t>F. G. (After priming)</t>
  </si>
  <si>
    <t>SUGAR</t>
  </si>
  <si>
    <t>SOD. BICARB (approx.)</t>
  </si>
  <si>
    <t>ACID (approx.)</t>
  </si>
  <si>
    <t>TANNIN (approx.)</t>
  </si>
  <si>
    <r>
      <t xml:space="preserve">PECTIC ENZYME </t>
    </r>
    <r>
      <rPr>
        <sz val="10"/>
        <color indexed="10"/>
        <rFont val="Times New Roman"/>
        <family val="1"/>
      </rPr>
      <t>(min.)</t>
    </r>
  </si>
  <si>
    <t>BENTONITE</t>
  </si>
  <si>
    <t>For a bottle size of (ml)</t>
  </si>
  <si>
    <t>SUGAR SOLUTIONS (Syrups)</t>
  </si>
  <si>
    <t>FORTIFYING WINES</t>
  </si>
  <si>
    <t>Total Nutrient &amp; Vitamin supplied by the "ingredients"</t>
  </si>
  <si>
    <t>ACTUAL MUST O.G.</t>
  </si>
  <si>
    <t>ACTUAL MUST F.G.</t>
  </si>
  <si>
    <t>ACTUAL MUST % ABV</t>
  </si>
  <si>
    <t>Giving a total of</t>
  </si>
  <si>
    <t>&amp;</t>
  </si>
  <si>
    <t>These tables can be used when making sugar solutions.</t>
  </si>
  <si>
    <t>A gravity of about 1300 is a good practical guide.</t>
  </si>
  <si>
    <t>Figures are approximate &amp; are temperature dependant.</t>
  </si>
  <si>
    <t>Wt. Sugar</t>
  </si>
  <si>
    <t>Spirit % ABV</t>
  </si>
  <si>
    <t>Wine % ABV</t>
  </si>
  <si>
    <t>Desired % ABV</t>
  </si>
  <si>
    <t>Wine vol.</t>
  </si>
  <si>
    <t>Spirit vol. required</t>
  </si>
  <si>
    <t>Measured O.G.</t>
  </si>
  <si>
    <t>Measured F.G.</t>
  </si>
  <si>
    <t>Alcohol  % ABV</t>
  </si>
  <si>
    <t>Approximate Must Totals (g)</t>
  </si>
  <si>
    <t>Dry/1</t>
  </si>
  <si>
    <t>&lt;998</t>
  </si>
  <si>
    <t>0-50</t>
  </si>
  <si>
    <t>0-8.3</t>
  </si>
  <si>
    <t xml:space="preserve">  (Mainly for diabetes suffers. All figures are approximate.)</t>
  </si>
  <si>
    <t>Vol. water</t>
  </si>
  <si>
    <t>Sugars</t>
  </si>
  <si>
    <t>ml (for solid ingredients)</t>
  </si>
  <si>
    <t>litres excl. any sweetening sugar</t>
  </si>
  <si>
    <r>
      <t xml:space="preserve">litres (actual vol. </t>
    </r>
    <r>
      <rPr>
        <u val="single"/>
        <sz val="10.5"/>
        <color indexed="8"/>
        <rFont val="Times New Roman"/>
        <family val="1"/>
      </rPr>
      <t xml:space="preserve">used </t>
    </r>
    <r>
      <rPr>
        <sz val="10.5"/>
        <color indexed="8"/>
        <rFont val="Times New Roman"/>
        <family val="1"/>
      </rPr>
      <t>- allows for losses &amp; sweetening sugar when added to finished wine.)</t>
    </r>
  </si>
  <si>
    <t>litres after fermentation &amp; racking.</t>
  </si>
  <si>
    <t>°C (Max. 30)</t>
  </si>
  <si>
    <t>NOTE:- I would recommend 4 volumes as the absolute maximum for wines &amp; use 1.7-2.6 volumes generally for ciders.</t>
  </si>
  <si>
    <t xml:space="preserve">(Mainly for diabetes suffers. All figures are approximate) </t>
  </si>
  <si>
    <t>Final Vol.</t>
  </si>
  <si>
    <t>ABV</t>
  </si>
  <si>
    <t>Acid</t>
  </si>
  <si>
    <t>Medium Dry/2</t>
  </si>
  <si>
    <t>998-1005</t>
  </si>
  <si>
    <t>50-130</t>
  </si>
  <si>
    <t>8.3-22</t>
  </si>
  <si>
    <t>S. G.</t>
  </si>
  <si>
    <t>Tannin</t>
  </si>
  <si>
    <t>No information available, value "guessed".</t>
  </si>
  <si>
    <t>"Carbs"</t>
  </si>
  <si>
    <t>N</t>
  </si>
  <si>
    <t>mg/l N</t>
  </si>
  <si>
    <t>Red figures denote deficiencies</t>
  </si>
  <si>
    <t>Medium/3</t>
  </si>
  <si>
    <t>1005-1010</t>
  </si>
  <si>
    <t>130-200</t>
  </si>
  <si>
    <t>22-33</t>
  </si>
  <si>
    <t>Calculated "topping-up" water =</t>
  </si>
  <si>
    <t xml:space="preserve"> For a glass size of (ml)</t>
  </si>
  <si>
    <t>ALWAYS WORK ON A COPY OF THIS SPREADSHEET</t>
  </si>
  <si>
    <t>Pectin</t>
  </si>
  <si>
    <t>K</t>
  </si>
  <si>
    <t>mg/l P</t>
  </si>
  <si>
    <t>◄These figures should be "0"►</t>
  </si>
  <si>
    <t>B1</t>
  </si>
  <si>
    <t>mg/tab</t>
  </si>
  <si>
    <t>Med. Sweet/4</t>
  </si>
  <si>
    <t>1010-1015</t>
  </si>
  <si>
    <t>200-260</t>
  </si>
  <si>
    <t>33-43</t>
  </si>
  <si>
    <t>B3</t>
  </si>
  <si>
    <t>Copyright Peter J. Laycock 28~10~'6</t>
  </si>
  <si>
    <t>Many thanks to James</t>
  </si>
  <si>
    <t>By kind permission of</t>
  </si>
  <si>
    <t>B5</t>
  </si>
  <si>
    <t>Sweet/5</t>
  </si>
  <si>
    <t>1015-1020</t>
  </si>
  <si>
    <t>260-310</t>
  </si>
  <si>
    <t>43-52</t>
  </si>
  <si>
    <t>(nom. 1300)</t>
  </si>
  <si>
    <t>B6</t>
  </si>
  <si>
    <t>www.signaturewinesofohio.com</t>
  </si>
  <si>
    <t>Desert/6</t>
  </si>
  <si>
    <t>1020+</t>
  </si>
  <si>
    <t>310+</t>
  </si>
  <si>
    <t>52+</t>
  </si>
  <si>
    <t>Free for to use - Not for sale.</t>
  </si>
  <si>
    <t>HIDE</t>
  </si>
  <si>
    <t>/ ml</t>
  </si>
  <si>
    <t xml:space="preserve">Carbs/g </t>
  </si>
  <si>
    <t xml:space="preserve">WINE TYPE </t>
  </si>
  <si>
    <t>% ALC ABV</t>
  </si>
  <si>
    <t xml:space="preserve">% ACID </t>
  </si>
  <si>
    <t>% TANNIN</t>
  </si>
  <si>
    <t>STYLE</t>
  </si>
  <si>
    <t>Many good wines could possibly not fit within these limits, but beware of any recipes displaying vast differences.</t>
  </si>
  <si>
    <t>DRY WHITE</t>
  </si>
  <si>
    <t xml:space="preserve">10-13 </t>
  </si>
  <si>
    <t>0.50-0.70</t>
  </si>
  <si>
    <t xml:space="preserve">&lt;0.04 </t>
  </si>
  <si>
    <t>Dry</t>
  </si>
  <si>
    <t>DRY RED</t>
  </si>
  <si>
    <t>11-13</t>
  </si>
  <si>
    <t>0.50-0.65</t>
  </si>
  <si>
    <t xml:space="preserve">0.09-0.3 </t>
  </si>
  <si>
    <t>Med. Dry</t>
  </si>
  <si>
    <t>ROSÉ</t>
  </si>
  <si>
    <t>11-12</t>
  </si>
  <si>
    <t>0.60-0.75</t>
  </si>
  <si>
    <t xml:space="preserve">0.04-0.09 </t>
  </si>
  <si>
    <t>Med.</t>
  </si>
  <si>
    <t>N (nit)</t>
  </si>
  <si>
    <t>Mineral/Vit. mg/100g</t>
  </si>
  <si>
    <t xml:space="preserve">SWEET WHITE </t>
  </si>
  <si>
    <t xml:space="preserve">12-15 </t>
  </si>
  <si>
    <t>0.50-0.75</t>
  </si>
  <si>
    <t xml:space="preserve">Med. Sweet </t>
  </si>
  <si>
    <t>K (pot)</t>
  </si>
  <si>
    <t xml:space="preserve">SWEET RED </t>
  </si>
  <si>
    <t>13-18</t>
  </si>
  <si>
    <t>0.40-0.65</t>
  </si>
  <si>
    <t>0.15-0.3</t>
  </si>
  <si>
    <t>Sweet</t>
  </si>
  <si>
    <t>17-20</t>
  </si>
  <si>
    <t>0.55-0.65</t>
  </si>
  <si>
    <t>0.2-0.3</t>
  </si>
  <si>
    <t>Dessert</t>
  </si>
  <si>
    <t>M</t>
  </si>
  <si>
    <t>C</t>
  </si>
  <si>
    <t>C/M</t>
  </si>
  <si>
    <t>T</t>
  </si>
  <si>
    <t>h</t>
  </si>
  <si>
    <t>Waste</t>
  </si>
  <si>
    <t>0.40-0.50</t>
  </si>
  <si>
    <t>The "Main Acid" is expressed as the equivalent amount of tartaric acid.</t>
  </si>
  <si>
    <t>Tartaric</t>
  </si>
  <si>
    <t>B2</t>
  </si>
  <si>
    <t>B7</t>
  </si>
  <si>
    <t>B9</t>
  </si>
  <si>
    <t>B12</t>
  </si>
  <si>
    <t>Citric</t>
  </si>
  <si>
    <t>Thiamine</t>
  </si>
  <si>
    <t>Riboflavin</t>
  </si>
  <si>
    <t>Niacin</t>
  </si>
  <si>
    <t>Pantothenic acid</t>
  </si>
  <si>
    <t>Pyridoxine/pyridoxal/pyridoxamine</t>
  </si>
  <si>
    <t>Biotin</t>
  </si>
  <si>
    <t>Folic acid</t>
  </si>
  <si>
    <t>Cyanocobalamin</t>
  </si>
  <si>
    <t>Malic</t>
  </si>
  <si>
    <t>By calculation your cocktail should contain</t>
  </si>
  <si>
    <t xml:space="preserve">It is fair to assume that a "drop" is approx. 0.05-0.06ml in size, this gives about 400-500 drops in one "shot" (25ml) &amp; can safely be ignored in our calculations. </t>
  </si>
  <si>
    <t>A "dash" or "splash" is approx. 2-3 ml &amp; can be considered to be 0.1 of a shot, so 3 dashes = 0.3 shots etc.</t>
  </si>
  <si>
    <t>Cocktail Name:</t>
  </si>
  <si>
    <t>Spirits (in general)</t>
  </si>
  <si>
    <t>Absinthe</t>
  </si>
  <si>
    <t>Advocaat</t>
  </si>
  <si>
    <t>Amarula Cream</t>
  </si>
  <si>
    <t>Angostura bitters</t>
  </si>
  <si>
    <t>Bacardi rum</t>
  </si>
  <si>
    <t>Bénédictine Dom Liqueur</t>
  </si>
  <si>
    <t>Brandy</t>
  </si>
  <si>
    <t>Campari</t>
  </si>
  <si>
    <t>Cognac</t>
  </si>
  <si>
    <t>Cointreau</t>
  </si>
  <si>
    <t>Cointreau Triple Sec</t>
  </si>
  <si>
    <t xml:space="preserve">Creme De Mure liqueur (blackberry) </t>
  </si>
  <si>
    <t>Cuarenta Y Tres liqueur</t>
  </si>
  <si>
    <t>De Kuyper Blue Curaçao</t>
  </si>
  <si>
    <t>De Kuyper Cherry Brandy Liqueur</t>
  </si>
  <si>
    <t xml:space="preserve">De Kuyper Crème De Cacao </t>
  </si>
  <si>
    <t>De Kuyper Crème De Cassis</t>
  </si>
  <si>
    <t xml:space="preserve">De Kuyper Crème De Menthe </t>
  </si>
  <si>
    <t>De Kuyper Raspberry Liqueur</t>
  </si>
  <si>
    <t>De Kuyper Triple Sec</t>
  </si>
  <si>
    <t>Disaronno Amaretto Almond Liqueur</t>
  </si>
  <si>
    <t>Domaine de Canton ginger liqueur</t>
  </si>
  <si>
    <t>Fig Liqueur</t>
  </si>
  <si>
    <t>Galliano</t>
  </si>
  <si>
    <t>Gin</t>
  </si>
  <si>
    <t>Leblon Cachaça</t>
  </si>
  <si>
    <t>Malibu</t>
  </si>
  <si>
    <t>Maraschino liqueur</t>
  </si>
  <si>
    <t xml:space="preserve">Noilly Prat </t>
  </si>
  <si>
    <t>Orange curacao</t>
  </si>
  <si>
    <t>Peach Schnapps</t>
  </si>
  <si>
    <t>Pimm’s No. 1</t>
  </si>
  <si>
    <t>Port</t>
  </si>
  <si>
    <t>Rum</t>
  </si>
  <si>
    <t>Sake</t>
  </si>
  <si>
    <t>Sherry (dry)</t>
  </si>
  <si>
    <t>Sherry (sweet)</t>
  </si>
  <si>
    <t>Sloe gin liqueur</t>
  </si>
  <si>
    <t>Sparkling wine</t>
  </si>
  <si>
    <t>Tequila</t>
  </si>
  <si>
    <t>Tia Maria (coffee) liqueur</t>
  </si>
  <si>
    <t>Tio Pepe Fino sherry</t>
  </si>
  <si>
    <t>Vermouth</t>
  </si>
  <si>
    <t>Vodka</t>
  </si>
  <si>
    <t>Whisky</t>
  </si>
  <si>
    <t>Wine (red/white dessert)</t>
  </si>
  <si>
    <t>Wine (red/white dry)</t>
  </si>
  <si>
    <r>
      <t>Disclaimer</t>
    </r>
    <r>
      <rPr>
        <u val="single"/>
        <sz val="9"/>
        <color indexed="23"/>
        <rFont val="Times New Roman"/>
        <family val="1"/>
      </rPr>
      <t xml:space="preserve">: </t>
    </r>
    <r>
      <rPr>
        <u val="single"/>
        <sz val="9"/>
        <color indexed="8"/>
        <rFont val="Times New Roman"/>
        <family val="1"/>
      </rPr>
      <t>No responsibility is assumed or implied as a result of using this spreadsheet.</t>
    </r>
  </si>
  <si>
    <t>Shots</t>
  </si>
  <si>
    <t>Cals/ 100ml</t>
  </si>
  <si>
    <t>Cals</t>
  </si>
  <si>
    <t>Carbs/100ml</t>
  </si>
  <si>
    <t>Carbs</t>
  </si>
  <si>
    <t>Mixers</t>
  </si>
  <si>
    <t>Apple juice</t>
  </si>
  <si>
    <t>Apple juice (fresh)</t>
  </si>
  <si>
    <t>Coconut cream</t>
  </si>
  <si>
    <t>Coke</t>
  </si>
  <si>
    <t>Cranberry juice</t>
  </si>
  <si>
    <t>Cranberry juice (fresh)</t>
  </si>
  <si>
    <t>Cream (single)</t>
  </si>
  <si>
    <t>Double Cream</t>
  </si>
  <si>
    <t>Elderflower cordial</t>
  </si>
  <si>
    <t>Ginger ale</t>
  </si>
  <si>
    <t>Grape juice (red)</t>
  </si>
  <si>
    <t>Grape juice (white)</t>
  </si>
  <si>
    <t>Grenadine</t>
  </si>
  <si>
    <t>Lemon juice</t>
  </si>
  <si>
    <t>Lemon juice (fresh)</t>
  </si>
  <si>
    <t>Lemonade</t>
  </si>
  <si>
    <t>Lime cordial</t>
  </si>
  <si>
    <t>Lime juice</t>
  </si>
  <si>
    <t>Lime juice (fresh)</t>
  </si>
  <si>
    <t>Milk</t>
  </si>
  <si>
    <t>Orange juice</t>
  </si>
  <si>
    <t>Orange juice (fresh)</t>
  </si>
  <si>
    <t>Passion fruit juice</t>
  </si>
  <si>
    <t>Passion fruit juice (bottled)</t>
  </si>
  <si>
    <t>Peach juice</t>
  </si>
  <si>
    <t>Peach puree</t>
  </si>
  <si>
    <t>Pineapple juice</t>
  </si>
  <si>
    <t>Soda water</t>
  </si>
  <si>
    <t>Sugar syrup</t>
  </si>
  <si>
    <t>Tomato juice</t>
  </si>
  <si>
    <t>Tonic water</t>
  </si>
  <si>
    <t>Worcestershire Sauce</t>
  </si>
  <si>
    <t>Mixers (solid)</t>
  </si>
  <si>
    <t>Egg (medium)</t>
  </si>
  <si>
    <t>Egg white (medium)</t>
  </si>
  <si>
    <t>Ice (crushed)</t>
  </si>
  <si>
    <t>Ice (cubes)</t>
  </si>
  <si>
    <t>All figures are approximate &amp; ignore any garnishing.</t>
  </si>
  <si>
    <t>No.</t>
  </si>
  <si>
    <t>Copyright Peter J. Laycock 1~4~'13</t>
  </si>
  <si>
    <t xml:space="preserve">Check for the latest version on </t>
  </si>
  <si>
    <t>Denotes an "editable" cell, add your own data.</t>
  </si>
  <si>
    <t>Notes:-</t>
  </si>
  <si>
    <t>Size (ml)</t>
  </si>
  <si>
    <t>Jam Name</t>
  </si>
  <si>
    <t>SUGAR CALCULATED</t>
  </si>
  <si>
    <t>WATER CALCULATED</t>
  </si>
  <si>
    <t>ACID ADDED (Tartaric/Citric)</t>
  </si>
  <si>
    <t>PECTIN ADDED (Powder)</t>
  </si>
  <si>
    <t>TOTAL ACID</t>
  </si>
  <si>
    <t>TOTAL PECTIN</t>
  </si>
  <si>
    <t>ESTIMATED INITIAL VOLUME</t>
  </si>
  <si>
    <t>SUGGESTED PAN VOLUME</t>
  </si>
  <si>
    <t>Please read the "Disclaimer" before using this spreadsheet.</t>
  </si>
  <si>
    <t>LITCHI</t>
  </si>
  <si>
    <t>PAPAYA</t>
  </si>
  <si>
    <t>PERSIMMON (Sharon Fruit)</t>
  </si>
  <si>
    <r>
      <t>RHUBARB</t>
    </r>
    <r>
      <rPr>
        <b/>
        <sz val="10.5"/>
        <color indexed="8"/>
        <rFont val="Times New Roman"/>
        <family val="1"/>
      </rPr>
      <t xml:space="preserve"> </t>
    </r>
    <r>
      <rPr>
        <b/>
        <sz val="10"/>
        <color indexed="10"/>
        <rFont val="Arial"/>
        <family val="2"/>
      </rPr>
      <t>▼</t>
    </r>
  </si>
  <si>
    <t>OTHER 1</t>
  </si>
  <si>
    <t>OTHER 2</t>
  </si>
  <si>
    <t>OTHER 3</t>
  </si>
  <si>
    <t>OTHER 4</t>
  </si>
  <si>
    <t xml:space="preserve">▼ DO NOT USE ALUMINIUM utensils as the acids present in this vegetable will react with these &amp; may ultimately lead to Alzheimer's disease. </t>
  </si>
  <si>
    <t>USER/RECIPE NOTES:-</t>
  </si>
  <si>
    <r>
      <t>Disclaimer</t>
    </r>
    <r>
      <rPr>
        <sz val="9"/>
        <color indexed="23"/>
        <rFont val="Times New Roman"/>
        <family val="1"/>
      </rPr>
      <t>:</t>
    </r>
    <r>
      <rPr>
        <sz val="9"/>
        <color indexed="8"/>
        <rFont val="Times New Roman"/>
        <family val="1"/>
      </rPr>
      <t xml:space="preserve"> No responsibility is assumed or implied as a result of using this spreadsheet.</t>
    </r>
  </si>
  <si>
    <t>Ripe</t>
  </si>
  <si>
    <t>Under-ripe</t>
  </si>
  <si>
    <t>Flesh</t>
  </si>
  <si>
    <t>Dried</t>
  </si>
  <si>
    <t xml:space="preserve">OR  </t>
  </si>
  <si>
    <r>
      <t>ml</t>
    </r>
    <r>
      <rPr>
        <sz val="10.5"/>
        <color indexed="10"/>
        <rFont val="Times New Roman"/>
        <family val="1"/>
      </rPr>
      <t xml:space="preserve"> (approx.)</t>
    </r>
  </si>
  <si>
    <r>
      <t>litres</t>
    </r>
    <r>
      <rPr>
        <b/>
        <sz val="10"/>
        <color indexed="10"/>
        <rFont val="Times New Roman"/>
        <family val="1"/>
      </rPr>
      <t xml:space="preserve"> (allows for excessive "boiling up")</t>
    </r>
  </si>
  <si>
    <t>"Stone"</t>
  </si>
  <si>
    <t>Factor</t>
  </si>
  <si>
    <t xml:space="preserve">Please Note: The above columns are also edible. </t>
  </si>
  <si>
    <t>Usable</t>
  </si>
  <si>
    <t>Water</t>
  </si>
  <si>
    <r>
      <t>Higher values lead to a better "set". Aim for at least "</t>
    </r>
    <r>
      <rPr>
        <b/>
        <sz val="10.5"/>
        <color indexed="14"/>
        <rFont val="Times New Roman"/>
        <family val="1"/>
      </rPr>
      <t>Medium</t>
    </r>
    <r>
      <rPr>
        <sz val="10.5"/>
        <color indexed="8"/>
        <rFont val="Times New Roman"/>
        <family val="1"/>
      </rPr>
      <t>".</t>
    </r>
  </si>
  <si>
    <t>Added ml</t>
  </si>
  <si>
    <t>These are for "fine tuning" the acid &amp; pectin content of the jam.</t>
  </si>
  <si>
    <t>Hide</t>
  </si>
  <si>
    <t>Added g</t>
  </si>
  <si>
    <t>Cooking</t>
  </si>
  <si>
    <t>Time (min)</t>
  </si>
  <si>
    <t>60+</t>
  </si>
  <si>
    <t>35+</t>
  </si>
  <si>
    <t>20+</t>
  </si>
  <si>
    <t>25+</t>
  </si>
  <si>
    <t>15+</t>
  </si>
  <si>
    <t>30+</t>
  </si>
  <si>
    <t>75+</t>
  </si>
  <si>
    <t>10+</t>
  </si>
  <si>
    <t>Also used for calculating ciders, meads etc.</t>
  </si>
  <si>
    <t>Country</t>
  </si>
  <si>
    <t>Australia</t>
  </si>
  <si>
    <t>Austria</t>
  </si>
  <si>
    <t>Canada</t>
  </si>
  <si>
    <t>Denmark</t>
  </si>
  <si>
    <t>Finland</t>
  </si>
  <si>
    <t>France</t>
  </si>
  <si>
    <t>Hungary</t>
  </si>
  <si>
    <t>Iceland</t>
  </si>
  <si>
    <t>Ireland (Eire)</t>
  </si>
  <si>
    <t>Italy</t>
  </si>
  <si>
    <t>Japan</t>
  </si>
  <si>
    <t>Netherlands</t>
  </si>
  <si>
    <t>New Zealand</t>
  </si>
  <si>
    <t>Poland</t>
  </si>
  <si>
    <t>Portugal</t>
  </si>
  <si>
    <t>Spain</t>
  </si>
  <si>
    <t>USA</t>
  </si>
  <si>
    <t>Density of ethyl alcohol at 20°C =</t>
  </si>
  <si>
    <t>At 20°C</t>
  </si>
  <si>
    <t>Main Acid</t>
  </si>
  <si>
    <t>FOR STILL WINES &amp; CIDERS ONLY, ADD SUGAR SOLN. AFTER STABILIZATION. Always use potassium sorbate before adding any sweetening sugar.</t>
  </si>
  <si>
    <t>EATING</t>
  </si>
  <si>
    <t xml:space="preserve">SOUR </t>
  </si>
  <si>
    <t>-</t>
  </si>
  <si>
    <t xml:space="preserve">     "</t>
  </si>
  <si>
    <t xml:space="preserve">      "</t>
  </si>
  <si>
    <t xml:space="preserve">         "</t>
  </si>
  <si>
    <t xml:space="preserve">          "</t>
  </si>
  <si>
    <t xml:space="preserve">    "</t>
  </si>
  <si>
    <t xml:space="preserve">       "</t>
  </si>
  <si>
    <t xml:space="preserve">        "</t>
  </si>
  <si>
    <t>DESSERT</t>
  </si>
  <si>
    <t xml:space="preserve"> (FRUIT)</t>
  </si>
  <si>
    <t xml:space="preserve">(PORT) </t>
  </si>
  <si>
    <t>Acid Comparator (equiv. wt.)</t>
  </si>
  <si>
    <t xml:space="preserve">   "</t>
  </si>
  <si>
    <t>These can be reduced by just adding 10ml supermarket orange juice per litre of water to nullify most chloramines.</t>
  </si>
  <si>
    <t>Plum</t>
  </si>
  <si>
    <t>HONEY (1 lb = 454g)</t>
  </si>
  <si>
    <t>PERSIMMON (Sharon fruit)</t>
  </si>
  <si>
    <t>RHUBARB ▼</t>
  </si>
  <si>
    <t>Version 1.5</t>
  </si>
  <si>
    <t>28~10~'16</t>
  </si>
  <si>
    <t>tablet(s) vit. B complex give(s) a total of</t>
  </si>
  <si>
    <t xml:space="preserve">      Read the instructions on the packaging BEFORE adding.</t>
  </si>
  <si>
    <t xml:space="preserve">      Any data given for tannin is un-reliable, careful design of your recipes is much better than adding additional tanning.</t>
  </si>
  <si>
    <t xml:space="preserve">      Tea tannin is not the same as grape tannin, neither is most shop-bought tannins as they are made, apparently, by re-cycling chestnut/oak trees etc.</t>
  </si>
  <si>
    <r>
      <t>WARNING!</t>
    </r>
    <r>
      <rPr>
        <sz val="11"/>
        <color indexed="8"/>
        <rFont val="Times New Roman"/>
        <family val="0"/>
      </rPr>
      <t xml:space="preserve">  </t>
    </r>
    <r>
      <rPr>
        <sz val="10"/>
        <color indexed="8"/>
        <rFont val="Times New Roman"/>
        <family val="1"/>
      </rPr>
      <t>Do not use this if you are of a sensitive nature.</t>
    </r>
  </si>
  <si>
    <t xml:space="preserve">       lb   OR     oz     OR    lb       /      oz</t>
  </si>
  <si>
    <t>using the easier "brewers degrees".</t>
  </si>
  <si>
    <t>Other 1</t>
  </si>
  <si>
    <t>Other 2</t>
  </si>
  <si>
    <t>OR,</t>
  </si>
  <si>
    <t>using the simpler "brewers degrees"</t>
  </si>
  <si>
    <t>ALCOHOL (After priming)</t>
  </si>
  <si>
    <t xml:space="preserve">   Wt. g  OR Wt. Kg</t>
  </si>
  <si>
    <t xml:space="preserve">Leave "non-entries" blank. </t>
  </si>
  <si>
    <t>When using this calculator, it is vital to take gravity readings before &amp; after the sugars, syrups &amp; malts etc. have been mixed in.</t>
  </si>
  <si>
    <t>% ABV (exc. any primer)</t>
  </si>
  <si>
    <t>Hydrometer readings errors of ± 1 can typically lead to errors of about 0.3% ABV.</t>
  </si>
  <si>
    <r>
      <t xml:space="preserve">i.e. An SG of say </t>
    </r>
    <r>
      <rPr>
        <sz val="10"/>
        <color indexed="10"/>
        <rFont val="Times New Roman"/>
        <family val="1"/>
      </rPr>
      <t>993</t>
    </r>
    <r>
      <rPr>
        <sz val="10"/>
        <color indexed="8"/>
        <rFont val="Times New Roman"/>
        <family val="1"/>
      </rPr>
      <t xml:space="preserve"> is represented by </t>
    </r>
    <r>
      <rPr>
        <sz val="10"/>
        <color indexed="10"/>
        <rFont val="Times New Roman"/>
        <family val="1"/>
      </rPr>
      <t>(993-1000) =</t>
    </r>
    <r>
      <rPr>
        <b/>
        <sz val="10"/>
        <color indexed="10"/>
        <rFont val="Times New Roman"/>
        <family val="1"/>
      </rPr>
      <t xml:space="preserve"> -7</t>
    </r>
  </si>
  <si>
    <r>
      <t>Measured Gravity</t>
    </r>
  </si>
  <si>
    <t>SG</t>
  </si>
  <si>
    <t>Volume Equivalents</t>
  </si>
  <si>
    <t>Kg/m³</t>
  </si>
  <si>
    <r>
      <t>NOTE:-</t>
    </r>
    <r>
      <rPr>
        <sz val="14"/>
        <color indexed="8"/>
        <rFont val="Times New Roman"/>
        <family val="1"/>
      </rPr>
      <t xml:space="preserve"> These calculators use pre-set data which may be changed.</t>
    </r>
  </si>
  <si>
    <t>BMI Calculators</t>
  </si>
  <si>
    <t>Additional help supplied by James at</t>
  </si>
  <si>
    <t>jamesbsmith@hotmail.com</t>
  </si>
  <si>
    <t xml:space="preserve">Version 1.5 </t>
  </si>
  <si>
    <t>Making Wine (&amp; Beer) In Stages</t>
  </si>
  <si>
    <t>Ratio (Women)</t>
  </si>
  <si>
    <t>Ratio (Men)</t>
  </si>
  <si>
    <t xml:space="preserve"> (UK units, 1 unit = 10ml alcohol). Note:- 1 unit in these Calc's =</t>
  </si>
  <si>
    <t>The UK Government recommended units of alcohol per week is 14 for both &amp; for men. This equates to 2 units per day.</t>
  </si>
  <si>
    <t>TCP Taste/Aroma</t>
  </si>
  <si>
    <t>TCP TASTE/AROMA</t>
  </si>
  <si>
    <t>Beer &amp; Wine Sugar Stages</t>
  </si>
  <si>
    <t>Alternatively</t>
  </si>
  <si>
    <t xml:space="preserve">All calc's are approx. </t>
  </si>
  <si>
    <t>% ABV (approx.)</t>
  </si>
  <si>
    <t>Note:- All Governments can ruin your health &amp; your wealth!</t>
  </si>
  <si>
    <t>(Assume 1 level 5ml tsp nutrient &amp; 1 vit. B tablet ≈ 1 rounded tsp "Energiser")</t>
  </si>
  <si>
    <t>General Converters - volume, weight, temperature etc.</t>
  </si>
  <si>
    <t>BLACK CAT</t>
  </si>
  <si>
    <t xml:space="preserve">"        ml. Note the change of units </t>
  </si>
  <si>
    <r>
      <t xml:space="preserve">GRAPE CONC. </t>
    </r>
    <r>
      <rPr>
        <sz val="9"/>
        <color indexed="10"/>
        <rFont val="Times New Roman"/>
        <family val="1"/>
      </rPr>
      <t>g</t>
    </r>
  </si>
  <si>
    <r>
      <t>Disclaimer</t>
    </r>
    <r>
      <rPr>
        <sz val="10"/>
        <color indexed="23"/>
        <rFont val="Times New Roman"/>
        <family val="1"/>
      </rPr>
      <t xml:space="preserve">: </t>
    </r>
    <r>
      <rPr>
        <sz val="10"/>
        <color indexed="8"/>
        <rFont val="Times New Roman"/>
        <family val="1"/>
      </rPr>
      <t>No responsibility is assumed or implied as a result of using this spreadsheet.</t>
    </r>
  </si>
  <si>
    <t>UK°</t>
  </si>
  <si>
    <r>
      <t>&amp;</t>
    </r>
    <r>
      <rPr>
        <b/>
        <sz val="12"/>
        <color indexed="8"/>
        <rFont val="Times New Roman"/>
        <family val="1"/>
      </rPr>
      <t xml:space="preserve"> </t>
    </r>
    <r>
      <rPr>
        <b/>
        <u val="single"/>
        <sz val="12"/>
        <color indexed="10"/>
        <rFont val="Times New Roman"/>
        <family val="1"/>
      </rPr>
      <t>US</t>
    </r>
  </si>
  <si>
    <t>US°</t>
  </si>
  <si>
    <t>UK/US Proof Converters</t>
  </si>
  <si>
    <t>Proof</t>
  </si>
  <si>
    <r>
      <t>ABV/</t>
    </r>
    <r>
      <rPr>
        <b/>
        <sz val="10"/>
        <color indexed="10"/>
        <rFont val="Times New Roman"/>
        <family val="1"/>
      </rPr>
      <t>Proof</t>
    </r>
    <r>
      <rPr>
        <b/>
        <sz val="10"/>
        <color indexed="8"/>
        <rFont val="Times New Roman"/>
        <family val="1"/>
      </rPr>
      <t xml:space="preserve"> converter</t>
    </r>
  </si>
  <si>
    <r>
      <t>ABW/</t>
    </r>
    <r>
      <rPr>
        <b/>
        <sz val="10"/>
        <color indexed="10"/>
        <rFont val="Times New Roman"/>
        <family val="1"/>
      </rPr>
      <t>Proof</t>
    </r>
    <r>
      <rPr>
        <b/>
        <sz val="10"/>
        <color indexed="8"/>
        <rFont val="Times New Roman"/>
        <family val="1"/>
      </rPr>
      <t xml:space="preserve"> converter</t>
    </r>
  </si>
  <si>
    <t>USA 200°</t>
  </si>
  <si>
    <t>(Note: these calc's are approx.)</t>
  </si>
  <si>
    <t>Where  "brewers degrees" = SG-1000</t>
  </si>
  <si>
    <t>Ensure cell J41 is clear!</t>
  </si>
  <si>
    <t>If your measured figures do not tally with any of the calculations, do not be surprised, just enter your own gravities &amp; get the corrected % ABV figure.</t>
  </si>
  <si>
    <t>Notes</t>
  </si>
  <si>
    <t>Ingredient:</t>
  </si>
  <si>
    <t xml:space="preserve">         B Vitamins</t>
  </si>
  <si>
    <r>
      <t>SOME TYPICAL WINE PARAMETERS</t>
    </r>
    <r>
      <rPr>
        <sz val="8"/>
        <color indexed="55"/>
        <rFont val="Times New Roman"/>
        <family val="1"/>
      </rPr>
      <t xml:space="preserve"> (If used, treat as a rough guide only, the figures below are VERY arbitrary). Adapted from "Must" by Professor Gerry Fowles.</t>
    </r>
  </si>
  <si>
    <t>Nutrient &amp; Vitamin Section (mg)</t>
  </si>
  <si>
    <t>ABV for FINISHED, DRY wines only.</t>
  </si>
  <si>
    <t xml:space="preserve"> Ice "cube" size (mm)  (Ignoring the density)</t>
  </si>
  <si>
    <t>COOKING</t>
  </si>
  <si>
    <t>The latter figure includes left-over pulp, "wastage" &amp; an allowance for any sweetening/priming sugars used.</t>
  </si>
  <si>
    <r>
      <t xml:space="preserve">FRUIT - </t>
    </r>
    <r>
      <rPr>
        <u val="single"/>
        <sz val="10"/>
        <color indexed="55"/>
        <rFont val="Times New Roman"/>
        <family val="1"/>
      </rPr>
      <t>These grey figures are used in the calculations &amp; are editable</t>
    </r>
  </si>
  <si>
    <r>
      <t xml:space="preserve">VEGETABLES - </t>
    </r>
    <r>
      <rPr>
        <u val="single"/>
        <sz val="10"/>
        <color indexed="55"/>
        <rFont val="Times New Roman"/>
        <family val="1"/>
      </rPr>
      <t>These grey figures are used in the calculations &amp; are editable</t>
    </r>
  </si>
  <si>
    <r>
      <t xml:space="preserve">JUICES - </t>
    </r>
    <r>
      <rPr>
        <u val="single"/>
        <sz val="10"/>
        <color indexed="55"/>
        <rFont val="Times New Roman"/>
        <family val="1"/>
      </rPr>
      <t>These grey figures are used in the calculations &amp; are editable</t>
    </r>
  </si>
  <si>
    <r>
      <t xml:space="preserve">TINS - </t>
    </r>
    <r>
      <rPr>
        <u val="single"/>
        <sz val="10"/>
        <color indexed="55"/>
        <rFont val="Times New Roman"/>
        <family val="1"/>
      </rPr>
      <t>These grey figures are used in the calculations &amp; are editable</t>
    </r>
  </si>
  <si>
    <t>Insert your own figures in the yellow boxes.</t>
  </si>
  <si>
    <t>See Temperature Converter</t>
  </si>
  <si>
    <t>Insert your own data in the yellow boxes.</t>
  </si>
  <si>
    <t>For ease of change, the sugars are shown here for juices.</t>
  </si>
  <si>
    <t>°Brix, Plato, Balling &amp; Baumé</t>
  </si>
  <si>
    <r>
      <t>UK Proof &amp;</t>
    </r>
    <r>
      <rPr>
        <b/>
        <u val="single"/>
        <sz val="12"/>
        <rFont val="Times New Roman"/>
        <family val="1"/>
      </rPr>
      <t xml:space="preserve"> % Converters</t>
    </r>
  </si>
  <si>
    <t>UK/US Proof &amp; % Converters Etc.</t>
  </si>
  <si>
    <r>
      <t xml:space="preserve">Proof max. </t>
    </r>
    <r>
      <rPr>
        <sz val="10"/>
        <color indexed="10"/>
        <rFont val="Times New Roman"/>
        <family val="1"/>
      </rPr>
      <t>UK 175°</t>
    </r>
  </si>
  <si>
    <t>Includes ABV/ABW/Proof Calc's</t>
  </si>
  <si>
    <t>in = m</t>
  </si>
  <si>
    <t>lb = Kg</t>
  </si>
  <si>
    <t>°Baumé</t>
  </si>
  <si>
    <t xml:space="preserve">Brix, Plato &amp; Balling are all scales of sweetness based on sucrose solutions. They all give very similar results, to within a few decimal places &amp; therefore can be assumed to be the same for our purposes. The minimum amount of "sugar" that can be added is zero, hence the minimum value of the three scales is also zero. Temperatures of around 20°C are assumed. </t>
  </si>
  <si>
    <t xml:space="preserve">must requirements/litre </t>
  </si>
  <si>
    <t>For ease of change, the sugars are shown here for tinned goods.</t>
  </si>
  <si>
    <t>°Brix/Plato/Balling</t>
  </si>
  <si>
    <t>PSI</t>
  </si>
  <si>
    <t>Atm.</t>
  </si>
  <si>
    <t xml:space="preserve">Bar  </t>
  </si>
  <si>
    <t>Sugar added to</t>
  </si>
  <si>
    <t>Brew/resting temp.</t>
  </si>
  <si>
    <t>(Approx.)</t>
  </si>
  <si>
    <t>Pressure</t>
  </si>
  <si>
    <t>(°Bx, P, B &amp; Bé )</t>
  </si>
  <si>
    <t>TOPPING-UP WATER STATUS</t>
  </si>
  <si>
    <t>litres (exc. "topping-up" water)</t>
  </si>
  <si>
    <t>Approx. ingredient vol. =</t>
  </si>
  <si>
    <t>This assumes that the any vegetables (cells B141:B144) are catered for as per cell J12. Use the figures below as a VERY APPROX. GUIDE only.</t>
  </si>
  <si>
    <t>CALORIE/UNIT COUNTER (After Priming)</t>
  </si>
  <si>
    <t>Apple Juice &amp; Tinned Apricot Wine (Dry)</t>
  </si>
  <si>
    <t>litres. NOTE:- When adding water to a recipe, always err on the side caution as you can add more later if required. The converse is rather more difficult to do!</t>
  </si>
  <si>
    <t>Final fortified wine vol.</t>
  </si>
  <si>
    <t>Vodka used</t>
  </si>
  <si>
    <r>
      <t>For juices/drinks containing puréed fruit, allowances should be made in the "</t>
    </r>
    <r>
      <rPr>
        <sz val="10.5"/>
        <color indexed="8"/>
        <rFont val="Times New Roman"/>
        <family val="1"/>
      </rPr>
      <t>Assumed Waste</t>
    </r>
    <r>
      <rPr>
        <sz val="10.5"/>
        <color indexed="10"/>
        <rFont val="Times New Roman"/>
        <family val="1"/>
      </rPr>
      <t>" column, say 1% per every 1% purée per litre as a starting point.</t>
    </r>
  </si>
  <si>
    <t>(-0.1684226,POWER(D66,n))),4)</t>
  </si>
  <si>
    <t>HOOKUP(H5,'Data Sheet'!AFf:AG36,^v)</t>
  </si>
  <si>
    <t>1 unit alcohol =</t>
  </si>
  <si>
    <r>
      <t>CO</t>
    </r>
    <r>
      <rPr>
        <sz val="6"/>
        <color indexed="8"/>
        <rFont val="Times New Roman"/>
        <family val="1"/>
      </rPr>
      <t>2</t>
    </r>
    <r>
      <rPr>
        <sz val="10"/>
        <color indexed="8"/>
        <rFont val="Times New Roman"/>
        <family val="1"/>
      </rPr>
      <t>/litre</t>
    </r>
  </si>
  <si>
    <t>A max.temp. of 30°C</t>
  </si>
  <si>
    <t>or 86°F is catered for.</t>
  </si>
  <si>
    <t>Max. 4</t>
  </si>
  <si>
    <t>rec</t>
  </si>
  <si>
    <t>Priming Sparkling Wines, Ciders, Meads &amp; Beers &amp; The Associated Pressures</t>
  </si>
  <si>
    <t>For a temperture of</t>
  </si>
  <si>
    <t>Safe Drinking Recommendations (UK)</t>
  </si>
  <si>
    <t>The Baumé scale is used to measure liquid density. A slightly different formula is used for SG's below zero.</t>
  </si>
  <si>
    <t>Avoid adding excessive amounts of extra sugar to make a high alcohol drink. It will probably taste very "thin" &amp; give you hangover.</t>
  </si>
  <si>
    <t>SUMMARY FOR THE FINISHED WINE</t>
  </si>
  <si>
    <t>Some Typical Wine Parameters</t>
  </si>
  <si>
    <t>Wine Type</t>
  </si>
  <si>
    <t>Dry White Table</t>
  </si>
  <si>
    <t>Dry Red Table</t>
  </si>
  <si>
    <t>Rose Table</t>
  </si>
  <si>
    <t>Sweet White</t>
  </si>
  <si>
    <t>Sweet Red</t>
  </si>
  <si>
    <t>Dessert (Fruit)</t>
  </si>
  <si>
    <t>Dessert (Port)</t>
  </si>
  <si>
    <t>% Acid of Must (As Tartaric Acid)</t>
  </si>
  <si>
    <t>0.35 - 0.55</t>
  </si>
  <si>
    <t>0.35 - 0.5</t>
  </si>
  <si>
    <t>0.45 - 0.6</t>
  </si>
  <si>
    <t>0.35 - 0.6</t>
  </si>
  <si>
    <t>0.25 - 0.5</t>
  </si>
  <si>
    <t>0.4 - 0.5</t>
  </si>
  <si>
    <t>0.25 - 0.35</t>
  </si>
  <si>
    <t>% Acid of Finished Wine (As Tartaric Acid)</t>
  </si>
  <si>
    <t>0.50 - 0.70</t>
  </si>
  <si>
    <t>0.50 - 0.65</t>
  </si>
  <si>
    <t>0.60 - 0.75</t>
  </si>
  <si>
    <t>0.5 - 0.75</t>
  </si>
  <si>
    <t>0.40 - 0.65</t>
  </si>
  <si>
    <t>0.55 - 0.65</t>
  </si>
  <si>
    <t>0.40 - 0.50</t>
  </si>
  <si>
    <t>Insert your own figures</t>
  </si>
  <si>
    <t>Calculated Values</t>
  </si>
  <si>
    <t>Adjusting Acidity Following Titration</t>
  </si>
  <si>
    <t>Volume of wine / must</t>
  </si>
  <si>
    <t>ml of wine / must tested</t>
  </si>
  <si>
    <t>ml of NaOH used to neutralise wine / must</t>
  </si>
  <si>
    <t>Strength of NaOH</t>
  </si>
  <si>
    <t>Desired acidity of wine (as % tartaric)</t>
  </si>
  <si>
    <t>moles of NaOH to neutralise test sample</t>
  </si>
  <si>
    <t>moles</t>
  </si>
  <si>
    <t>moles of NaOH to neutralise 100ml</t>
  </si>
  <si>
    <t>moles of NaOH to neutralise volume of wine</t>
  </si>
  <si>
    <t>moles of acid in test sample</t>
  </si>
  <si>
    <t>moles of acid in 100ml</t>
  </si>
  <si>
    <t>moles of acid in volume of wine</t>
  </si>
  <si>
    <t>Acidity as % sulphuric acid</t>
  </si>
  <si>
    <t>Acidity as % tartaric acid</t>
  </si>
  <si>
    <t>Desired acidity (number of moles acid per 100ml)</t>
  </si>
  <si>
    <t>Shortfall in acidity of wine</t>
  </si>
  <si>
    <t>Excess of acidity of wine</t>
  </si>
  <si>
    <t>To Increase Acidity to Desired Level Add</t>
  </si>
  <si>
    <t>Tartaric Acid OR</t>
  </si>
  <si>
    <t>Citric Acid OR</t>
  </si>
  <si>
    <t>Malic Acid</t>
  </si>
  <si>
    <t>To Decrease Acidity to Desired Level Add</t>
  </si>
  <si>
    <r>
      <t>Precipitated Chalk (CaCO</t>
    </r>
    <r>
      <rPr>
        <vertAlign val="subscript"/>
        <sz val="10"/>
        <rFont val="Arial"/>
        <family val="2"/>
      </rPr>
      <t>3</t>
    </r>
    <r>
      <rPr>
        <sz val="10"/>
        <rFont val="Arial"/>
        <family val="2"/>
      </rPr>
      <t>)</t>
    </r>
  </si>
  <si>
    <t>level 5ml teaspoons</t>
  </si>
  <si>
    <t>NOTES:-</t>
  </si>
  <si>
    <t>Summary for Finished Wine</t>
  </si>
  <si>
    <t>Sugar Solutions &amp; Weights</t>
  </si>
  <si>
    <t>James' Acid Calculator</t>
  </si>
  <si>
    <t>For adjusting the acidity of a wine must following titration.</t>
  </si>
  <si>
    <t>Cocktail Unit Calculator</t>
  </si>
  <si>
    <t xml:space="preserve">Just add the components to get the units, calories &amp; "carbs" of your cocktails - including non-alcoholic.  </t>
  </si>
  <si>
    <r>
      <t>Disclaimer:</t>
    </r>
    <r>
      <rPr>
        <sz val="7"/>
        <color indexed="8"/>
        <rFont val="Times New Roman"/>
        <family val="1"/>
      </rPr>
      <t xml:space="preserve"> No responsibility is assumed or implied as a result of using these spreadsheets.</t>
    </r>
  </si>
  <si>
    <r>
      <t>Sodium Bicarbonate (NaHCO</t>
    </r>
    <r>
      <rPr>
        <sz val="6"/>
        <rFont val="Arial"/>
        <family val="2"/>
      </rPr>
      <t>3</t>
    </r>
    <r>
      <rPr>
        <sz val="10"/>
        <rFont val="Arial"/>
        <family val="2"/>
      </rPr>
      <t>)</t>
    </r>
  </si>
  <si>
    <t xml:space="preserve">Inc. Volume CO2 Converters to PSI or Atm. or Bar </t>
  </si>
  <si>
    <t>1 level 5ml tsp sugar =</t>
  </si>
  <si>
    <t>Pete's YoBrew Wine &amp; Jam Etc. Calc's.</t>
  </si>
  <si>
    <t>Pete's Jam Calculator</t>
  </si>
  <si>
    <t>Pete's Cocktail Unit Calculator</t>
  </si>
  <si>
    <t>Pete's Wine Calculator</t>
  </si>
  <si>
    <t>Pete's General Calc's</t>
  </si>
  <si>
    <t>28~10~'6 to 28~10~'16</t>
  </si>
  <si>
    <t>SOME OTHER DRIED FRUITS</t>
  </si>
  <si>
    <t>A method of calculating the amount of spirit required to fortify a wine.</t>
  </si>
  <si>
    <t>Mango</t>
  </si>
  <si>
    <t>Pineapple</t>
  </si>
  <si>
    <t>Blueberry</t>
  </si>
  <si>
    <t>Elderberry</t>
  </si>
  <si>
    <t>Strawberry</t>
  </si>
  <si>
    <t>Sugar %</t>
  </si>
  <si>
    <t>Mullberry</t>
  </si>
  <si>
    <t>Fresh Fruit Equiv. Wt.</t>
  </si>
  <si>
    <t>Some Dried Fruit Eqivalents</t>
  </si>
  <si>
    <r>
      <t xml:space="preserve"> </t>
    </r>
    <r>
      <rPr>
        <b/>
        <sz val="18"/>
        <color indexed="20"/>
        <rFont val="Times New Roman"/>
        <family val="1"/>
      </rPr>
      <t xml:space="preserve"> </t>
    </r>
    <r>
      <rPr>
        <b/>
        <sz val="50"/>
        <color indexed="20"/>
        <rFont val="Times New Roman"/>
        <family val="1"/>
      </rPr>
      <t xml:space="preserve"> 10th Anniversary Edition</t>
    </r>
  </si>
  <si>
    <t>Dried Fruit</t>
  </si>
  <si>
    <t>For a gravity of 1300</t>
  </si>
  <si>
    <t>ml   OR    g</t>
  </si>
  <si>
    <r>
      <t xml:space="preserve">            "              </t>
    </r>
    <r>
      <rPr>
        <sz val="9"/>
        <color indexed="10"/>
        <rFont val="Times New Roman"/>
        <family val="1"/>
      </rPr>
      <t>g</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</si>
</sst>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809]* \ #,##0.00"/>
    <numFmt numFmtId="181" formatCode="[$£-809]* \ #,##0"/>
    <numFmt numFmtId="182" formatCode="0.0"/>
    <numFmt numFmtId="183" formatCode="0.000"/>
    <numFmt numFmtId="184" formatCode="0.00000"/>
    <numFmt numFmtId="185" formatCode="0\ ;[Red]0\ "/>
    <numFmt numFmtId="186" formatCode="0.00\ ;[Red]0.00\ "/>
    <numFmt numFmtId="187" formatCode="0.0000000"/>
    <numFmt numFmtId="188" formatCode="&quot;£&quot;#,##0.00"/>
    <numFmt numFmtId="189" formatCode="0.0000"/>
    <numFmt numFmtId="190" formatCode="0_ ;[Red]\-0\ "/>
    <numFmt numFmtId="191" formatCode="0.0%"/>
    <numFmt numFmtId="192" formatCode="0.0_ ;[Red]\-0.0\ "/>
    <numFmt numFmtId="193" formatCode="0.000000"/>
    <numFmt numFmtId="194" formatCode="\£#,##0.00"/>
    <numFmt numFmtId="195" formatCode="_-\£* #,##0.00_-;&quot;-£&quot;* #,##0.00_-;_-\£* \-??_-;_-@_-"/>
    <numFmt numFmtId="196" formatCode="&quot;Yes&quot;;&quot;Yes&quot;;&quot;No&quot;"/>
    <numFmt numFmtId="197" formatCode="&quot;True&quot;;&quot;True&quot;;&quot;False&quot;"/>
    <numFmt numFmtId="198" formatCode="&quot;On&quot;;&quot;On&quot;;&quot;Off&quot;"/>
    <numFmt numFmtId="199" formatCode="[$€-2]\ #,##0.00_);[Red]\([$€-2]\ #,##0.00\)"/>
    <numFmt numFmtId="200" formatCode="&quot;$&quot;#,##0.00"/>
  </numFmts>
  <fonts count="145">
    <font>
      <sz val="11"/>
      <color indexed="8"/>
      <name val="Times New Roman"/>
      <family val="0"/>
    </font>
    <font>
      <sz val="10"/>
      <color indexed="8"/>
      <name val="Arial"/>
      <family val="2"/>
    </font>
    <font>
      <sz val="12"/>
      <color indexed="8"/>
      <name val="Times New Roman"/>
      <family val="1"/>
    </font>
    <font>
      <sz val="10.5"/>
      <color indexed="8"/>
      <name val="Times New Roman"/>
      <family val="1"/>
    </font>
    <font>
      <sz val="8"/>
      <color indexed="22"/>
      <name val="Times New Roman"/>
      <family val="1"/>
    </font>
    <font>
      <b/>
      <u val="single"/>
      <sz val="14"/>
      <color indexed="8"/>
      <name val="Times New Roman"/>
      <family val="1"/>
    </font>
    <font>
      <b/>
      <sz val="10.5"/>
      <color indexed="8"/>
      <name val="Times New Roman"/>
      <family val="1"/>
    </font>
    <font>
      <sz val="10.5"/>
      <color indexed="9"/>
      <name val="Times New Roman"/>
      <family val="1"/>
    </font>
    <font>
      <sz val="10.5"/>
      <color indexed="14"/>
      <name val="Times New Roman"/>
      <family val="1"/>
    </font>
    <font>
      <sz val="10.5"/>
      <color indexed="57"/>
      <name val="Times New Roman"/>
      <family val="1"/>
    </font>
    <font>
      <sz val="8"/>
      <color indexed="55"/>
      <name val="Times New Roman"/>
      <family val="1"/>
    </font>
    <font>
      <u val="single"/>
      <sz val="9"/>
      <color indexed="12"/>
      <name val="Times New Roman"/>
      <family val="1"/>
    </font>
    <font>
      <b/>
      <sz val="10.5"/>
      <color indexed="10"/>
      <name val="Times New Roman"/>
      <family val="1"/>
    </font>
    <font>
      <sz val="10.5"/>
      <color indexed="10"/>
      <name val="Times New Roman"/>
      <family val="1"/>
    </font>
    <font>
      <sz val="9"/>
      <color indexed="10"/>
      <name val="Times New Roman"/>
      <family val="1"/>
    </font>
    <font>
      <sz val="8"/>
      <color indexed="8"/>
      <name val="Times New Roman"/>
      <family val="1"/>
    </font>
    <font>
      <sz val="8"/>
      <color indexed="23"/>
      <name val="Times New Roman"/>
      <family val="1"/>
    </font>
    <font>
      <u val="single"/>
      <sz val="8"/>
      <color indexed="12"/>
      <name val="Times New Roman"/>
      <family val="1"/>
    </font>
    <font>
      <sz val="10"/>
      <color indexed="8"/>
      <name val="Times New Roman"/>
      <family val="1"/>
    </font>
    <font>
      <u val="single"/>
      <sz val="10.5"/>
      <color indexed="12"/>
      <name val="Times New Roman"/>
      <family val="1"/>
    </font>
    <font>
      <sz val="11"/>
      <color indexed="10"/>
      <name val="Times New Roman"/>
      <family val="1"/>
    </font>
    <font>
      <sz val="10.5"/>
      <color indexed="55"/>
      <name val="Times New Roman"/>
      <family val="1"/>
    </font>
    <font>
      <u val="single"/>
      <sz val="9"/>
      <color indexed="10"/>
      <name val="Times New Roman"/>
      <family val="1"/>
    </font>
    <font>
      <u val="single"/>
      <sz val="10.5"/>
      <color indexed="8"/>
      <name val="Times New Roman"/>
      <family val="1"/>
    </font>
    <font>
      <sz val="9"/>
      <color indexed="8"/>
      <name val="Times New Roman"/>
      <family val="1"/>
    </font>
    <font>
      <sz val="10"/>
      <color indexed="55"/>
      <name val="Times New Roman"/>
      <family val="1"/>
    </font>
    <font>
      <sz val="8"/>
      <color indexed="10"/>
      <name val="Times New Roman"/>
      <family val="1"/>
    </font>
    <font>
      <sz val="10"/>
      <color indexed="10"/>
      <name val="Times New Roman"/>
      <family val="1"/>
    </font>
    <font>
      <sz val="9"/>
      <color indexed="23"/>
      <name val="Times New Roman"/>
      <family val="1"/>
    </font>
    <font>
      <u val="single"/>
      <sz val="11"/>
      <color indexed="12"/>
      <name val="Times New Roman"/>
      <family val="1"/>
    </font>
    <font>
      <b/>
      <sz val="10"/>
      <color indexed="10"/>
      <name val="Times New Roman"/>
      <family val="1"/>
    </font>
    <font>
      <b/>
      <sz val="10"/>
      <color indexed="8"/>
      <name val="Times New Roman"/>
      <family val="1"/>
    </font>
    <font>
      <b/>
      <u val="single"/>
      <sz val="12"/>
      <color indexed="8"/>
      <name val="Times New Roman"/>
      <family val="1"/>
    </font>
    <font>
      <i/>
      <sz val="10"/>
      <color indexed="10"/>
      <name val="Times New Roman"/>
      <family val="1"/>
    </font>
    <font>
      <b/>
      <sz val="7"/>
      <color indexed="10"/>
      <name val="Times New Roman"/>
      <family val="1"/>
    </font>
    <font>
      <b/>
      <u val="single"/>
      <sz val="10"/>
      <color indexed="8"/>
      <name val="Times New Roman"/>
      <family val="1"/>
    </font>
    <font>
      <b/>
      <u val="single"/>
      <sz val="11"/>
      <color indexed="8"/>
      <name val="Times New Roman"/>
      <family val="1"/>
    </font>
    <font>
      <u val="single"/>
      <sz val="10"/>
      <color indexed="8"/>
      <name val="Times New Roman"/>
      <family val="1"/>
    </font>
    <font>
      <sz val="10"/>
      <color indexed="57"/>
      <name val="Times New Roman"/>
      <family val="1"/>
    </font>
    <font>
      <b/>
      <sz val="10"/>
      <color indexed="9"/>
      <name val="Times New Roman"/>
      <family val="1"/>
    </font>
    <font>
      <b/>
      <sz val="11"/>
      <color indexed="10"/>
      <name val="Times New Roman"/>
      <family val="1"/>
    </font>
    <font>
      <sz val="7"/>
      <color indexed="8"/>
      <name val="Times New Roman"/>
      <family val="1"/>
    </font>
    <font>
      <sz val="11"/>
      <color indexed="8"/>
      <name val="Calibri"/>
      <family val="2"/>
    </font>
    <font>
      <sz val="11"/>
      <color indexed="9"/>
      <name val="Calibri"/>
      <family val="2"/>
    </font>
    <font>
      <sz val="11"/>
      <color indexed="60"/>
      <name val="Calibri"/>
      <family val="2"/>
    </font>
    <font>
      <b/>
      <sz val="11"/>
      <color indexed="52"/>
      <name val="Calibri"/>
      <family val="2"/>
    </font>
    <font>
      <b/>
      <sz val="13"/>
      <color indexed="56"/>
      <name val="Calibri"/>
      <family val="2"/>
    </font>
    <font>
      <b/>
      <sz val="11"/>
      <color indexed="9"/>
      <name val="Calibri"/>
      <family val="2"/>
    </font>
    <font>
      <i/>
      <sz val="11"/>
      <color indexed="23"/>
      <name val="Calibri"/>
      <family val="2"/>
    </font>
    <font>
      <b/>
      <sz val="11"/>
      <color indexed="56"/>
      <name val="Calibri"/>
      <family val="2"/>
    </font>
    <font>
      <b/>
      <sz val="15"/>
      <color indexed="56"/>
      <name val="Calibri"/>
      <family val="2"/>
    </font>
    <font>
      <sz val="11"/>
      <color indexed="8"/>
      <name val="Book Antiqua"/>
      <family val="1"/>
    </font>
    <font>
      <sz val="11"/>
      <color indexed="17"/>
      <name val="Calibri"/>
      <family val="2"/>
    </font>
    <font>
      <u val="single"/>
      <sz val="11"/>
      <color indexed="20"/>
      <name val="Times New Roman"/>
      <family val="1"/>
    </font>
    <font>
      <sz val="11"/>
      <color indexed="62"/>
      <name val="Calibri"/>
      <family val="2"/>
    </font>
    <font>
      <sz val="11"/>
      <color indexed="52"/>
      <name val="Calibri"/>
      <family val="2"/>
    </font>
    <font>
      <sz val="11"/>
      <color indexed="2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u val="single"/>
      <sz val="9"/>
      <color indexed="23"/>
      <name val="Times New Roman"/>
      <family val="1"/>
    </font>
    <font>
      <u val="single"/>
      <sz val="9"/>
      <color indexed="8"/>
      <name val="Times New Roman"/>
      <family val="1"/>
    </font>
    <font>
      <b/>
      <sz val="12"/>
      <color indexed="10"/>
      <name val="Times New Roman"/>
      <family val="1"/>
    </font>
    <font>
      <b/>
      <sz val="10.5"/>
      <color indexed="9"/>
      <name val="Times New Roman"/>
      <family val="1"/>
    </font>
    <font>
      <b/>
      <sz val="10"/>
      <color indexed="10"/>
      <name val="Arial"/>
      <family val="2"/>
    </font>
    <font>
      <b/>
      <sz val="12"/>
      <color indexed="8"/>
      <name val="Times New Roman"/>
      <family val="1"/>
    </font>
    <font>
      <sz val="10"/>
      <color indexed="22"/>
      <name val="Times New Roman"/>
      <family val="1"/>
    </font>
    <font>
      <sz val="9"/>
      <color indexed="55"/>
      <name val="Times New Roman"/>
      <family val="1"/>
    </font>
    <font>
      <u val="single"/>
      <sz val="10"/>
      <color indexed="12"/>
      <name val="Times New Roman"/>
      <family val="1"/>
    </font>
    <font>
      <b/>
      <u val="single"/>
      <sz val="11"/>
      <color indexed="14"/>
      <name val="Times New Roman"/>
      <family val="1"/>
    </font>
    <font>
      <b/>
      <sz val="10.5"/>
      <color indexed="14"/>
      <name val="Times New Roman"/>
      <family val="1"/>
    </font>
    <font>
      <b/>
      <u val="single"/>
      <sz val="10.5"/>
      <color indexed="55"/>
      <name val="Times New Roman"/>
      <family val="1"/>
    </font>
    <font>
      <sz val="12"/>
      <color indexed="10"/>
      <name val="Times New Roman"/>
      <family val="1"/>
    </font>
    <font>
      <b/>
      <u val="single"/>
      <sz val="10.5"/>
      <color indexed="8"/>
      <name val="Times New Roman"/>
      <family val="1"/>
    </font>
    <font>
      <sz val="10.5"/>
      <color indexed="23"/>
      <name val="Times New Roman"/>
      <family val="1"/>
    </font>
    <font>
      <sz val="10.5"/>
      <color indexed="54"/>
      <name val="Times New Roman"/>
      <family val="1"/>
    </font>
    <font>
      <sz val="10"/>
      <color indexed="23"/>
      <name val="Times New Roman"/>
      <family val="1"/>
    </font>
    <font>
      <sz val="9"/>
      <color indexed="9"/>
      <name val="Times New Roman"/>
      <family val="1"/>
    </font>
    <font>
      <sz val="10"/>
      <color indexed="54"/>
      <name val="Times New Roman"/>
      <family val="1"/>
    </font>
    <font>
      <b/>
      <i/>
      <u val="single"/>
      <sz val="9"/>
      <color indexed="10"/>
      <name val="Times New Roman"/>
      <family val="1"/>
    </font>
    <font>
      <sz val="11"/>
      <color indexed="54"/>
      <name val="Times New Roman"/>
      <family val="1"/>
    </font>
    <font>
      <sz val="9.5"/>
      <color indexed="53"/>
      <name val="Times New Roman"/>
      <family val="1"/>
    </font>
    <font>
      <sz val="10"/>
      <color indexed="9"/>
      <name val="Times New Roman"/>
      <family val="1"/>
    </font>
    <font>
      <sz val="10.5"/>
      <color indexed="53"/>
      <name val="Times New Roman"/>
      <family val="1"/>
    </font>
    <font>
      <u val="single"/>
      <sz val="10.5"/>
      <color indexed="10"/>
      <name val="Times New Roman"/>
      <family val="1"/>
    </font>
    <font>
      <b/>
      <i/>
      <sz val="15"/>
      <color indexed="10"/>
      <name val="Times New Roman"/>
      <family val="1"/>
    </font>
    <font>
      <sz val="14"/>
      <color indexed="10"/>
      <name val="Times New Roman"/>
      <family val="1"/>
    </font>
    <font>
      <u val="single"/>
      <sz val="11"/>
      <color indexed="8"/>
      <name val="Times New Roman"/>
      <family val="1"/>
    </font>
    <font>
      <b/>
      <i/>
      <u val="single"/>
      <sz val="10.5"/>
      <color indexed="10"/>
      <name val="Times New Roman"/>
      <family val="1"/>
    </font>
    <font>
      <sz val="9"/>
      <color indexed="22"/>
      <name val="Times New Roman"/>
      <family val="1"/>
    </font>
    <font>
      <b/>
      <sz val="16"/>
      <color indexed="22"/>
      <name val="Times New Roman"/>
      <family val="1"/>
    </font>
    <font>
      <b/>
      <u val="single"/>
      <sz val="16"/>
      <color indexed="8"/>
      <name val="Times New Roman"/>
      <family val="1"/>
    </font>
    <font>
      <u val="single"/>
      <sz val="7"/>
      <color indexed="12"/>
      <name val="Times New Roman"/>
      <family val="1"/>
    </font>
    <font>
      <sz val="8"/>
      <name val="Times New Roman"/>
      <family val="1"/>
    </font>
    <font>
      <sz val="10.5"/>
      <name val="Times New Roman"/>
      <family val="1"/>
    </font>
    <font>
      <sz val="10"/>
      <name val="Times New Roman"/>
      <family val="1"/>
    </font>
    <font>
      <sz val="11"/>
      <name val="Times New Roman"/>
      <family val="1"/>
    </font>
    <font>
      <sz val="9.5"/>
      <color indexed="8"/>
      <name val="Times New Roman"/>
      <family val="1"/>
    </font>
    <font>
      <sz val="9.5"/>
      <color indexed="55"/>
      <name val="Times New Roman"/>
      <family val="1"/>
    </font>
    <font>
      <b/>
      <u val="single"/>
      <sz val="20"/>
      <color indexed="8"/>
      <name val="Times New Roman"/>
      <family val="1"/>
    </font>
    <font>
      <u val="single"/>
      <sz val="12"/>
      <color indexed="12"/>
      <name val="Times New Roman"/>
      <family val="1"/>
    </font>
    <font>
      <u val="single"/>
      <sz val="16"/>
      <color indexed="12"/>
      <name val="Times New Roman"/>
      <family val="1"/>
    </font>
    <font>
      <sz val="14"/>
      <color indexed="8"/>
      <name val="Times New Roman"/>
      <family val="1"/>
    </font>
    <font>
      <sz val="7.5"/>
      <color indexed="8"/>
      <name val="Times New Roman"/>
      <family val="1"/>
    </font>
    <font>
      <b/>
      <sz val="48"/>
      <color indexed="20"/>
      <name val="Times New Roman"/>
      <family val="1"/>
    </font>
    <font>
      <b/>
      <sz val="60"/>
      <color indexed="20"/>
      <name val="Times New Roman"/>
      <family val="1"/>
    </font>
    <font>
      <b/>
      <u val="single"/>
      <sz val="12"/>
      <name val="Times New Roman"/>
      <family val="1"/>
    </font>
    <font>
      <sz val="10.5"/>
      <color indexed="63"/>
      <name val="Times New Roman"/>
      <family val="1"/>
    </font>
    <font>
      <sz val="10"/>
      <color indexed="10"/>
      <name val="Arial Unicode MS"/>
      <family val="2"/>
    </font>
    <font>
      <b/>
      <i/>
      <sz val="12"/>
      <color indexed="10"/>
      <name val="Times New Roman"/>
      <family val="1"/>
    </font>
    <font>
      <b/>
      <u val="single"/>
      <sz val="12"/>
      <color indexed="10"/>
      <name val="Times New Roman"/>
      <family val="1"/>
    </font>
    <font>
      <b/>
      <sz val="10"/>
      <name val="Times New Roman"/>
      <family val="1"/>
    </font>
    <font>
      <sz val="10"/>
      <name val="Sugarskin BTN"/>
      <family val="2"/>
    </font>
    <font>
      <sz val="10"/>
      <color indexed="53"/>
      <name val="Times New Roman"/>
      <family val="1"/>
    </font>
    <font>
      <b/>
      <u val="single"/>
      <sz val="10.5"/>
      <color indexed="10"/>
      <name val="Times New Roman"/>
      <family val="1"/>
    </font>
    <font>
      <sz val="6"/>
      <color indexed="8"/>
      <name val="Times New Roman"/>
      <family val="1"/>
    </font>
    <font>
      <b/>
      <sz val="50"/>
      <color indexed="20"/>
      <name val="Times New Roman"/>
      <family val="1"/>
    </font>
    <font>
      <sz val="11"/>
      <color indexed="55"/>
      <name val="Times New Roman"/>
      <family val="1"/>
    </font>
    <font>
      <sz val="8.5"/>
      <color indexed="55"/>
      <name val="Times New Roman"/>
      <family val="1"/>
    </font>
    <font>
      <u val="single"/>
      <sz val="10"/>
      <color indexed="55"/>
      <name val="Times New Roman"/>
      <family val="1"/>
    </font>
    <font>
      <u val="single"/>
      <sz val="10"/>
      <color indexed="10"/>
      <name val="Times New Roman"/>
      <family val="1"/>
    </font>
    <font>
      <b/>
      <u val="single"/>
      <sz val="10"/>
      <color indexed="12"/>
      <name val="Times New Roman"/>
      <family val="1"/>
    </font>
    <font>
      <sz val="9.5"/>
      <name val="Times New Roman"/>
      <family val="1"/>
    </font>
    <font>
      <sz val="6.5"/>
      <color indexed="8"/>
      <name val="Times New Roman"/>
      <family val="1"/>
    </font>
    <font>
      <sz val="10"/>
      <name val="Arial"/>
      <family val="0"/>
    </font>
    <font>
      <b/>
      <u val="single"/>
      <sz val="16"/>
      <color indexed="8"/>
      <name val="Arial"/>
      <family val="2"/>
    </font>
    <font>
      <sz val="10"/>
      <color indexed="22"/>
      <name val="Arial"/>
      <family val="2"/>
    </font>
    <font>
      <sz val="10"/>
      <color indexed="55"/>
      <name val="Arial"/>
      <family val="2"/>
    </font>
    <font>
      <b/>
      <u val="single"/>
      <sz val="10"/>
      <name val="Arial"/>
      <family val="2"/>
    </font>
    <font>
      <b/>
      <u val="single"/>
      <sz val="10"/>
      <color indexed="8"/>
      <name val="Arial"/>
      <family val="2"/>
    </font>
    <font>
      <vertAlign val="subscript"/>
      <sz val="10"/>
      <name val="Arial"/>
      <family val="2"/>
    </font>
    <font>
      <sz val="8"/>
      <color indexed="22"/>
      <name val="Arial"/>
      <family val="2"/>
    </font>
    <font>
      <sz val="11"/>
      <color indexed="8"/>
      <name val="Arial"/>
      <family val="2"/>
    </font>
    <font>
      <sz val="8"/>
      <color indexed="55"/>
      <name val="Arial"/>
      <family val="2"/>
    </font>
    <font>
      <u val="single"/>
      <sz val="20"/>
      <color indexed="12"/>
      <name val="Times New Roman"/>
      <family val="1"/>
    </font>
    <font>
      <sz val="12"/>
      <name val="Times New Roman"/>
      <family val="1"/>
    </font>
    <font>
      <sz val="6"/>
      <name val="Arial"/>
      <family val="2"/>
    </font>
    <font>
      <b/>
      <u val="single"/>
      <sz val="17"/>
      <color indexed="8"/>
      <name val="Times New Roman"/>
      <family val="1"/>
    </font>
    <font>
      <b/>
      <sz val="6"/>
      <color indexed="8"/>
      <name val="Times New Roman"/>
      <family val="1"/>
    </font>
    <font>
      <b/>
      <sz val="18"/>
      <color indexed="20"/>
      <name val="Times New Roman"/>
      <family val="1"/>
    </font>
    <font>
      <sz val="6"/>
      <color indexed="22"/>
      <name val="Times New Roman"/>
      <family val="1"/>
    </font>
    <font>
      <sz val="8"/>
      <color indexed="9"/>
      <name val="Times New Roman"/>
      <family val="1"/>
    </font>
    <font>
      <b/>
      <u val="single"/>
      <sz val="11"/>
      <color indexed="8"/>
      <name val="Calibri"/>
      <family val="2"/>
    </font>
    <font>
      <i/>
      <sz val="10"/>
      <color indexed="8"/>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14"/>
        <bgColor indexed="64"/>
      </patternFill>
    </fill>
    <fill>
      <patternFill patternType="solid">
        <fgColor indexed="43"/>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color indexed="63"/>
      </left>
      <right style="medium">
        <color indexed="36"/>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color indexed="8"/>
      </right>
      <top style="thin">
        <color indexed="8"/>
      </top>
      <bottom style="thin"/>
    </border>
    <border>
      <left style="thin"/>
      <right style="thin"/>
      <top style="thin"/>
      <bottom style="thin">
        <color indexed="8"/>
      </bottom>
    </border>
    <border>
      <left style="thin">
        <color indexed="8"/>
      </left>
      <right>
        <color indexed="63"/>
      </right>
      <top style="thin">
        <color indexed="8"/>
      </top>
      <bottom>
        <color indexed="63"/>
      </bottom>
    </border>
    <border>
      <left style="thin"/>
      <right style="thin"/>
      <top style="thin">
        <color indexed="8"/>
      </top>
      <bottom style="thin"/>
    </border>
    <border>
      <left style="thin">
        <color indexed="8"/>
      </left>
      <right>
        <color indexed="63"/>
      </right>
      <top style="thin"/>
      <bottom style="thin">
        <color indexed="8"/>
      </bottom>
    </border>
    <border>
      <left style="thin"/>
      <right style="thin">
        <color indexed="8"/>
      </right>
      <top style="thin"/>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medium">
        <color indexed="36"/>
      </bottom>
    </border>
    <border>
      <left>
        <color indexed="63"/>
      </left>
      <right>
        <color indexed="63"/>
      </right>
      <top style="medium">
        <color indexed="36"/>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bottom>
        <color indexed="63"/>
      </bottom>
    </border>
    <border>
      <left>
        <color indexed="63"/>
      </left>
      <right style="thin">
        <color indexed="8"/>
      </right>
      <top>
        <color indexed="63"/>
      </top>
      <bottom style="thin"/>
    </border>
    <border>
      <left>
        <color indexed="63"/>
      </left>
      <right style="medium">
        <color indexed="36"/>
      </right>
      <top>
        <color indexed="63"/>
      </top>
      <bottom style="medium">
        <color indexed="36"/>
      </bottom>
    </border>
    <border>
      <left>
        <color indexed="63"/>
      </left>
      <right style="medium">
        <color indexed="36"/>
      </right>
      <top style="medium">
        <color indexed="36"/>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lignment/>
      <protection/>
    </xf>
    <xf numFmtId="0" fontId="42" fillId="2" borderId="0">
      <alignment/>
      <protection/>
    </xf>
    <xf numFmtId="0" fontId="42" fillId="3" borderId="0">
      <alignment/>
      <protection/>
    </xf>
    <xf numFmtId="0" fontId="42" fillId="3" borderId="0">
      <alignment/>
      <protection/>
    </xf>
    <xf numFmtId="0" fontId="42" fillId="4" borderId="0">
      <alignment/>
      <protection/>
    </xf>
    <xf numFmtId="0" fontId="42" fillId="4" borderId="0">
      <alignment/>
      <protection/>
    </xf>
    <xf numFmtId="0" fontId="42" fillId="5" borderId="0">
      <alignment/>
      <protection/>
    </xf>
    <xf numFmtId="0" fontId="42" fillId="5" borderId="0">
      <alignment/>
      <protection/>
    </xf>
    <xf numFmtId="0" fontId="42" fillId="6" borderId="0">
      <alignment/>
      <protection/>
    </xf>
    <xf numFmtId="0" fontId="42" fillId="6" borderId="0">
      <alignment/>
      <protection/>
    </xf>
    <xf numFmtId="0" fontId="42" fillId="7" borderId="0">
      <alignment/>
      <protection/>
    </xf>
    <xf numFmtId="0" fontId="42" fillId="7" borderId="0">
      <alignment/>
      <protection/>
    </xf>
    <xf numFmtId="0" fontId="42" fillId="8" borderId="0">
      <alignment/>
      <protection/>
    </xf>
    <xf numFmtId="0" fontId="42" fillId="8" borderId="0">
      <alignment/>
      <protection/>
    </xf>
    <xf numFmtId="0" fontId="42" fillId="9" borderId="0">
      <alignment/>
      <protection/>
    </xf>
    <xf numFmtId="0" fontId="42" fillId="9" borderId="0">
      <alignment/>
      <protection/>
    </xf>
    <xf numFmtId="0" fontId="42" fillId="10" borderId="0">
      <alignment/>
      <protection/>
    </xf>
    <xf numFmtId="0" fontId="42" fillId="10" borderId="0">
      <alignment/>
      <protection/>
    </xf>
    <xf numFmtId="0" fontId="42" fillId="5" borderId="0">
      <alignment/>
      <protection/>
    </xf>
    <xf numFmtId="0" fontId="42" fillId="5" borderId="0">
      <alignment/>
      <protection/>
    </xf>
    <xf numFmtId="0" fontId="42" fillId="8" borderId="0">
      <alignment/>
      <protection/>
    </xf>
    <xf numFmtId="0" fontId="42" fillId="8" borderId="0">
      <alignment/>
      <protection/>
    </xf>
    <xf numFmtId="0" fontId="42" fillId="11" borderId="0">
      <alignment/>
      <protection/>
    </xf>
    <xf numFmtId="0" fontId="42" fillId="11" borderId="0">
      <alignment/>
      <protection/>
    </xf>
    <xf numFmtId="0" fontId="43" fillId="12" borderId="0">
      <alignment/>
      <protection/>
    </xf>
    <xf numFmtId="0" fontId="43" fillId="9" borderId="0">
      <alignment/>
      <protection/>
    </xf>
    <xf numFmtId="0" fontId="43" fillId="10" borderId="0">
      <alignment/>
      <protection/>
    </xf>
    <xf numFmtId="0" fontId="43" fillId="13" borderId="0">
      <alignment/>
      <protection/>
    </xf>
    <xf numFmtId="0" fontId="43" fillId="14" borderId="0">
      <alignment/>
      <protection/>
    </xf>
    <xf numFmtId="0" fontId="43" fillId="15" borderId="0">
      <alignment/>
      <protection/>
    </xf>
    <xf numFmtId="0" fontId="43" fillId="16" borderId="0">
      <alignment/>
      <protection/>
    </xf>
    <xf numFmtId="0" fontId="43" fillId="17" borderId="0">
      <alignment/>
      <protection/>
    </xf>
    <xf numFmtId="0" fontId="43" fillId="18" borderId="0">
      <alignment/>
      <protection/>
    </xf>
    <xf numFmtId="0" fontId="43" fillId="13" borderId="0">
      <alignment/>
      <protection/>
    </xf>
    <xf numFmtId="0" fontId="43" fillId="14" borderId="0">
      <alignment/>
      <protection/>
    </xf>
    <xf numFmtId="0" fontId="43" fillId="19" borderId="0">
      <alignment/>
      <protection/>
    </xf>
    <xf numFmtId="0" fontId="56" fillId="3" borderId="0">
      <alignment/>
      <protection/>
    </xf>
    <xf numFmtId="0" fontId="45" fillId="20" borderId="1">
      <alignment/>
      <protection/>
    </xf>
    <xf numFmtId="0" fontId="47" fillId="21" borderId="2">
      <alignment/>
      <protection/>
    </xf>
    <xf numFmtId="4" fontId="0" fillId="0" borderId="0">
      <alignment/>
      <protection/>
    </xf>
    <xf numFmtId="3" fontId="0" fillId="0" borderId="0">
      <alignment/>
      <protection/>
    </xf>
    <xf numFmtId="180" fontId="0" fillId="0" borderId="0">
      <alignment/>
      <protection/>
    </xf>
    <xf numFmtId="181" fontId="0" fillId="0" borderId="0">
      <alignment/>
      <protection/>
    </xf>
    <xf numFmtId="0" fontId="48" fillId="0" borderId="0">
      <alignment/>
      <protection/>
    </xf>
    <xf numFmtId="0" fontId="53" fillId="0" borderId="0">
      <alignment vertical="top"/>
      <protection locked="0"/>
    </xf>
    <xf numFmtId="0" fontId="52" fillId="4" borderId="0">
      <alignment/>
      <protection/>
    </xf>
    <xf numFmtId="0" fontId="50" fillId="0" borderId="3">
      <alignment/>
      <protection/>
    </xf>
    <xf numFmtId="0" fontId="46" fillId="0" borderId="4">
      <alignment/>
      <protection/>
    </xf>
    <xf numFmtId="0" fontId="49" fillId="0" borderId="5">
      <alignment/>
      <protection/>
    </xf>
    <xf numFmtId="0" fontId="49" fillId="0" borderId="0">
      <alignment/>
      <protection/>
    </xf>
    <xf numFmtId="0" fontId="29" fillId="0" borderId="0">
      <alignment vertical="top"/>
      <protection locked="0"/>
    </xf>
    <xf numFmtId="0" fontId="29" fillId="0" borderId="0">
      <alignment vertical="top"/>
      <protection locked="0"/>
    </xf>
    <xf numFmtId="0" fontId="29" fillId="0" borderId="0">
      <alignment vertical="top"/>
      <protection locked="0"/>
    </xf>
    <xf numFmtId="0" fontId="29" fillId="0" borderId="0">
      <alignment vertical="top"/>
      <protection locked="0"/>
    </xf>
    <xf numFmtId="0" fontId="29" fillId="0" borderId="0">
      <alignment vertical="top"/>
      <protection locked="0"/>
    </xf>
    <xf numFmtId="0" fontId="54" fillId="7" borderId="1">
      <alignment/>
      <protection/>
    </xf>
    <xf numFmtId="0" fontId="55" fillId="0" borderId="6">
      <alignment/>
      <protection/>
    </xf>
    <xf numFmtId="0" fontId="44" fillId="22"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1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97" fillId="0" borderId="0">
      <alignment/>
      <protection/>
    </xf>
    <xf numFmtId="0" fontId="96" fillId="0" borderId="0">
      <alignment/>
      <protection/>
    </xf>
    <xf numFmtId="0" fontId="97" fillId="0" borderId="0">
      <alignment/>
      <protection/>
    </xf>
    <xf numFmtId="0" fontId="96" fillId="0" borderId="0">
      <alignment/>
      <protection/>
    </xf>
    <xf numFmtId="0" fontId="96" fillId="0" borderId="0">
      <alignment/>
      <protection/>
    </xf>
    <xf numFmtId="0" fontId="0" fillId="0" borderId="0">
      <alignment/>
      <protection/>
    </xf>
    <xf numFmtId="0" fontId="51" fillId="0" borderId="0">
      <alignment/>
      <protection/>
    </xf>
    <xf numFmtId="0" fontId="42" fillId="0" borderId="0">
      <alignment/>
      <protection/>
    </xf>
    <xf numFmtId="0" fontId="1" fillId="0" borderId="0">
      <alignment/>
      <protection/>
    </xf>
    <xf numFmtId="0" fontId="0" fillId="23" borderId="7">
      <alignment/>
      <protection/>
    </xf>
    <xf numFmtId="0" fontId="0" fillId="23" borderId="7">
      <alignment/>
      <protection/>
    </xf>
    <xf numFmtId="0" fontId="57" fillId="20" borderId="8">
      <alignment/>
      <protection/>
    </xf>
    <xf numFmtId="9" fontId="0" fillId="0" borderId="0">
      <alignment/>
      <protection/>
    </xf>
    <xf numFmtId="9" fontId="0" fillId="0" borderId="0">
      <alignment/>
      <protection/>
    </xf>
    <xf numFmtId="9" fontId="0" fillId="0" borderId="0">
      <alignment/>
      <protection/>
    </xf>
    <xf numFmtId="9" fontId="0" fillId="0" borderId="0">
      <alignment/>
      <protection/>
    </xf>
    <xf numFmtId="0" fontId="58" fillId="0" borderId="0">
      <alignment/>
      <protection/>
    </xf>
    <xf numFmtId="0" fontId="59" fillId="0" borderId="9">
      <alignment/>
      <protection/>
    </xf>
    <xf numFmtId="0" fontId="60" fillId="0" borderId="0">
      <alignment/>
      <protection/>
    </xf>
  </cellStyleXfs>
  <cellXfs count="1404">
    <xf numFmtId="0" fontId="0" fillId="0" borderId="0" xfId="0" applyFont="1" applyAlignment="1">
      <alignment/>
    </xf>
    <xf numFmtId="0" fontId="0" fillId="0" borderId="0" xfId="85" applyFont="1">
      <alignment/>
      <protection/>
    </xf>
    <xf numFmtId="0" fontId="3" fillId="0" borderId="0" xfId="85" applyFont="1">
      <alignment/>
      <protection/>
    </xf>
    <xf numFmtId="0" fontId="4" fillId="24" borderId="0" xfId="0" applyFont="1" applyFill="1" applyAlignment="1" applyProtection="1">
      <alignment/>
      <protection hidden="1"/>
    </xf>
    <xf numFmtId="0" fontId="3" fillId="24" borderId="0" xfId="85" applyFont="1" applyFill="1">
      <alignment/>
      <protection/>
    </xf>
    <xf numFmtId="0" fontId="0" fillId="24" borderId="0" xfId="85" applyFont="1" applyFill="1">
      <alignment/>
      <protection/>
    </xf>
    <xf numFmtId="0" fontId="3" fillId="0" borderId="10" xfId="85" applyFont="1" applyBorder="1" applyAlignment="1" applyProtection="1">
      <alignment horizontal="left"/>
      <protection locked="0"/>
    </xf>
    <xf numFmtId="0" fontId="3" fillId="0" borderId="10" xfId="85" applyFont="1" applyBorder="1" applyAlignment="1" applyProtection="1">
      <alignment horizontal="right"/>
      <protection locked="0"/>
    </xf>
    <xf numFmtId="0" fontId="6" fillId="0" borderId="10" xfId="85" applyFont="1" applyBorder="1" applyAlignment="1" applyProtection="1">
      <alignment horizontal="left"/>
      <protection locked="0"/>
    </xf>
    <xf numFmtId="0" fontId="3" fillId="0" borderId="10" xfId="85" applyFont="1" applyBorder="1" applyAlignment="1" applyProtection="1">
      <alignment horizontal="center"/>
      <protection locked="0"/>
    </xf>
    <xf numFmtId="0" fontId="7" fillId="24" borderId="0" xfId="85" applyFont="1" applyFill="1">
      <alignment/>
      <protection/>
    </xf>
    <xf numFmtId="0" fontId="11" fillId="24" borderId="0" xfId="65" applyFont="1" applyFill="1" applyAlignment="1" applyProtection="1">
      <alignment horizontal="right"/>
      <protection/>
    </xf>
    <xf numFmtId="0" fontId="3" fillId="24" borderId="0" xfId="85" applyFont="1" applyFill="1" applyProtection="1">
      <alignment/>
      <protection hidden="1"/>
    </xf>
    <xf numFmtId="0" fontId="0" fillId="24" borderId="0" xfId="85" applyFont="1" applyFill="1" applyProtection="1">
      <alignment/>
      <protection hidden="1"/>
    </xf>
    <xf numFmtId="0" fontId="3" fillId="24" borderId="0" xfId="85" applyFont="1" applyFill="1" applyAlignment="1" applyProtection="1">
      <alignment horizontal="left"/>
      <protection hidden="1"/>
    </xf>
    <xf numFmtId="182" fontId="3" fillId="24" borderId="0" xfId="85" applyNumberFormat="1" applyFont="1" applyFill="1" applyAlignment="1" applyProtection="1">
      <alignment horizontal="right"/>
      <protection hidden="1"/>
    </xf>
    <xf numFmtId="0" fontId="0" fillId="24" borderId="0" xfId="0" applyFont="1" applyFill="1" applyAlignment="1" applyProtection="1">
      <alignment/>
      <protection hidden="1"/>
    </xf>
    <xf numFmtId="0" fontId="3" fillId="24" borderId="0" xfId="85" applyFont="1" applyFill="1" applyAlignment="1" applyProtection="1">
      <alignment horizontal="right"/>
      <protection hidden="1"/>
    </xf>
    <xf numFmtId="1" fontId="3" fillId="24" borderId="0" xfId="85" applyNumberFormat="1" applyFont="1" applyFill="1" applyAlignment="1" applyProtection="1">
      <alignment horizontal="right"/>
      <protection hidden="1"/>
    </xf>
    <xf numFmtId="1" fontId="3" fillId="24" borderId="0" xfId="85" applyNumberFormat="1" applyFont="1" applyFill="1" applyProtection="1">
      <alignment/>
      <protection hidden="1"/>
    </xf>
    <xf numFmtId="0" fontId="16" fillId="24" borderId="0" xfId="85" applyFont="1" applyFill="1" applyAlignment="1" applyProtection="1">
      <alignment horizontal="right"/>
      <protection hidden="1"/>
    </xf>
    <xf numFmtId="0" fontId="17" fillId="24" borderId="0" xfId="65" applyFont="1" applyFill="1" applyAlignment="1" applyProtection="1">
      <alignment horizontal="left"/>
      <protection hidden="1"/>
    </xf>
    <xf numFmtId="0" fontId="11" fillId="24" borderId="0" xfId="65" applyFont="1" applyFill="1" applyAlignment="1" applyProtection="1">
      <alignment horizontal="right"/>
      <protection hidden="1"/>
    </xf>
    <xf numFmtId="0" fontId="19" fillId="24" borderId="0" xfId="65" applyFont="1" applyFill="1" applyAlignment="1" applyProtection="1">
      <alignment horizontal="right"/>
      <protection hidden="1"/>
    </xf>
    <xf numFmtId="0" fontId="3" fillId="24" borderId="0" xfId="0" applyFont="1" applyFill="1" applyAlignment="1" applyProtection="1">
      <alignment/>
      <protection hidden="1"/>
    </xf>
    <xf numFmtId="0" fontId="3" fillId="0" borderId="10" xfId="0" applyFont="1" applyBorder="1" applyAlignment="1" applyProtection="1">
      <alignment horizontal="right"/>
      <protection hidden="1"/>
    </xf>
    <xf numFmtId="0" fontId="3" fillId="0" borderId="10" xfId="0" applyFont="1" applyBorder="1" applyAlignment="1" applyProtection="1">
      <alignment horizontal="right" vertical="top" wrapText="1"/>
      <protection hidden="1"/>
    </xf>
    <xf numFmtId="0" fontId="20" fillId="0" borderId="10" xfId="0" applyFont="1" applyBorder="1" applyAlignment="1" applyProtection="1">
      <alignment horizontal="right"/>
      <protection hidden="1"/>
    </xf>
    <xf numFmtId="0" fontId="21" fillId="24" borderId="0" xfId="85" applyFont="1" applyFill="1" applyAlignment="1" applyProtection="1">
      <alignment horizontal="right"/>
      <protection hidden="1"/>
    </xf>
    <xf numFmtId="0" fontId="0" fillId="0" borderId="0" xfId="0" applyFont="1" applyAlignment="1" applyProtection="1">
      <alignment/>
      <protection hidden="1"/>
    </xf>
    <xf numFmtId="0" fontId="20" fillId="0" borderId="11" xfId="0" applyFont="1" applyBorder="1" applyAlignment="1" applyProtection="1">
      <alignment horizontal="right"/>
      <protection hidden="1"/>
    </xf>
    <xf numFmtId="0" fontId="20" fillId="24" borderId="0" xfId="0" applyFont="1" applyFill="1" applyAlignment="1" applyProtection="1">
      <alignment horizontal="right"/>
      <protection hidden="1"/>
    </xf>
    <xf numFmtId="0" fontId="3" fillId="0" borderId="10" xfId="0" applyFont="1" applyBorder="1" applyAlignment="1" applyProtection="1">
      <alignment horizontal="left"/>
      <protection hidden="1"/>
    </xf>
    <xf numFmtId="0" fontId="0" fillId="24" borderId="0" xfId="0" applyFont="1" applyFill="1" applyAlignment="1">
      <alignment/>
    </xf>
    <xf numFmtId="0" fontId="18" fillId="24" borderId="0" xfId="84" applyFont="1" applyFill="1" applyProtection="1">
      <alignment/>
      <protection hidden="1"/>
    </xf>
    <xf numFmtId="0" fontId="22" fillId="24" borderId="0" xfId="85" applyFont="1" applyFill="1" applyAlignment="1" applyProtection="1">
      <alignment horizontal="right"/>
      <protection hidden="1"/>
    </xf>
    <xf numFmtId="0" fontId="15" fillId="24" borderId="0" xfId="85" applyFont="1" applyFill="1" applyProtection="1">
      <alignment/>
      <protection hidden="1"/>
    </xf>
    <xf numFmtId="0" fontId="18" fillId="24" borderId="0" xfId="85" applyFill="1">
      <alignment/>
      <protection/>
    </xf>
    <xf numFmtId="2" fontId="18" fillId="0" borderId="10" xfId="85" applyNumberFormat="1" applyBorder="1" applyAlignment="1" applyProtection="1">
      <alignment horizontal="center"/>
      <protection hidden="1"/>
    </xf>
    <xf numFmtId="0" fontId="18" fillId="0" borderId="10" xfId="85" applyBorder="1" applyAlignment="1">
      <alignment horizontal="center"/>
      <protection/>
    </xf>
    <xf numFmtId="0" fontId="31" fillId="24" borderId="0" xfId="85" applyFont="1" applyFill="1" applyProtection="1">
      <alignment/>
      <protection hidden="1"/>
    </xf>
    <xf numFmtId="0" fontId="18" fillId="24" borderId="10" xfId="85" applyFill="1" applyBorder="1" applyAlignment="1" applyProtection="1">
      <alignment horizontal="center"/>
      <protection hidden="1"/>
    </xf>
    <xf numFmtId="0" fontId="18" fillId="24" borderId="10" xfId="85" applyFill="1" applyBorder="1" applyAlignment="1">
      <alignment horizontal="center"/>
      <protection/>
    </xf>
    <xf numFmtId="2" fontId="18" fillId="24" borderId="10" xfId="85" applyNumberFormat="1" applyFill="1" applyBorder="1" applyAlignment="1" applyProtection="1">
      <alignment horizontal="center"/>
      <protection hidden="1"/>
    </xf>
    <xf numFmtId="2" fontId="18" fillId="22" borderId="10" xfId="85" applyNumberFormat="1" applyFill="1" applyBorder="1" applyAlignment="1" applyProtection="1">
      <alignment horizontal="center"/>
      <protection locked="0"/>
    </xf>
    <xf numFmtId="0" fontId="18" fillId="22" borderId="10" xfId="85" applyFill="1" applyBorder="1" applyAlignment="1" applyProtection="1">
      <alignment horizontal="center"/>
      <protection locked="0"/>
    </xf>
    <xf numFmtId="183" fontId="18" fillId="24" borderId="10" xfId="85" applyNumberFormat="1" applyFill="1" applyBorder="1" applyAlignment="1" applyProtection="1">
      <alignment horizontal="center"/>
      <protection hidden="1"/>
    </xf>
    <xf numFmtId="0" fontId="31" fillId="24" borderId="0" xfId="0" applyFont="1" applyFill="1" applyAlignment="1" applyProtection="1">
      <alignment horizontal="left"/>
      <protection hidden="1"/>
    </xf>
    <xf numFmtId="0" fontId="18" fillId="24" borderId="10" xfId="0" applyFont="1" applyFill="1" applyBorder="1" applyAlignment="1" applyProtection="1">
      <alignment horizontal="center"/>
      <protection hidden="1"/>
    </xf>
    <xf numFmtId="182" fontId="18" fillId="24" borderId="10" xfId="85" applyNumberFormat="1" applyFill="1" applyBorder="1" applyAlignment="1" applyProtection="1">
      <alignment horizontal="center"/>
      <protection hidden="1"/>
    </xf>
    <xf numFmtId="183" fontId="18" fillId="0" borderId="10" xfId="85" applyNumberFormat="1" applyBorder="1" applyAlignment="1" applyProtection="1">
      <alignment horizontal="center"/>
      <protection hidden="1"/>
    </xf>
    <xf numFmtId="0" fontId="18" fillId="24" borderId="0" xfId="85" applyFill="1" quotePrefix="1">
      <alignment/>
      <protection/>
    </xf>
    <xf numFmtId="0" fontId="27" fillId="24" borderId="10" xfId="85" applyFont="1" applyFill="1" applyBorder="1" applyAlignment="1" applyProtection="1">
      <alignment horizontal="left"/>
      <protection hidden="1"/>
    </xf>
    <xf numFmtId="0" fontId="18" fillId="24" borderId="0" xfId="85" applyFill="1" applyProtection="1">
      <alignment/>
      <protection hidden="1"/>
    </xf>
    <xf numFmtId="0" fontId="38" fillId="24" borderId="0" xfId="84" applyFont="1" applyFill="1">
      <alignment/>
      <protection/>
    </xf>
    <xf numFmtId="4" fontId="18" fillId="24" borderId="10" xfId="85" applyNumberFormat="1" applyFill="1" applyBorder="1" applyAlignment="1" applyProtection="1">
      <alignment horizontal="center"/>
      <protection hidden="1"/>
    </xf>
    <xf numFmtId="0" fontId="18" fillId="24" borderId="12" xfId="0" applyFont="1" applyFill="1" applyBorder="1" applyAlignment="1" applyProtection="1">
      <alignment/>
      <protection hidden="1"/>
    </xf>
    <xf numFmtId="0" fontId="18" fillId="24" borderId="13" xfId="0" applyFont="1" applyFill="1" applyBorder="1" applyAlignment="1" applyProtection="1">
      <alignment/>
      <protection hidden="1"/>
    </xf>
    <xf numFmtId="0" fontId="18" fillId="24" borderId="14" xfId="0" applyFont="1" applyFill="1" applyBorder="1" applyAlignment="1" applyProtection="1">
      <alignment/>
      <protection hidden="1"/>
    </xf>
    <xf numFmtId="0" fontId="18" fillId="24" borderId="15" xfId="85" applyFill="1" applyBorder="1" applyAlignment="1" applyProtection="1">
      <alignment horizontal="center"/>
      <protection hidden="1"/>
    </xf>
    <xf numFmtId="0" fontId="18" fillId="24" borderId="10" xfId="81" applyFont="1" applyFill="1" applyBorder="1" applyAlignment="1" applyProtection="1">
      <alignment horizontal="center"/>
      <protection hidden="1"/>
    </xf>
    <xf numFmtId="0" fontId="27" fillId="24" borderId="11" xfId="85" applyFont="1" applyFill="1" applyBorder="1" applyAlignment="1" applyProtection="1">
      <alignment horizontal="right"/>
      <protection hidden="1"/>
    </xf>
    <xf numFmtId="0" fontId="27" fillId="24" borderId="14" xfId="85" applyFont="1" applyFill="1" applyBorder="1" applyAlignment="1" applyProtection="1">
      <alignment horizontal="right"/>
      <protection hidden="1"/>
    </xf>
    <xf numFmtId="0" fontId="18" fillId="24" borderId="16" xfId="85" applyFill="1" applyBorder="1" applyAlignment="1" applyProtection="1">
      <alignment horizontal="left"/>
      <protection hidden="1"/>
    </xf>
    <xf numFmtId="0" fontId="18" fillId="0" borderId="17" xfId="0" applyFont="1" applyBorder="1" applyAlignment="1">
      <alignment horizontal="right"/>
    </xf>
    <xf numFmtId="0" fontId="3" fillId="24" borderId="12" xfId="85" applyFont="1" applyFill="1" applyBorder="1" applyAlignment="1">
      <alignment horizontal="center"/>
      <protection/>
    </xf>
    <xf numFmtId="182" fontId="3" fillId="24" borderId="12" xfId="85" applyNumberFormat="1" applyFont="1" applyFill="1" applyBorder="1" applyAlignment="1">
      <alignment horizontal="center"/>
      <protection/>
    </xf>
    <xf numFmtId="0" fontId="3" fillId="24" borderId="15" xfId="85" applyFont="1" applyFill="1" applyBorder="1" applyAlignment="1">
      <alignment horizontal="center"/>
      <protection/>
    </xf>
    <xf numFmtId="0" fontId="3" fillId="24" borderId="18" xfId="85" applyFont="1" applyFill="1" applyBorder="1" applyAlignment="1">
      <alignment horizontal="center"/>
      <protection/>
    </xf>
    <xf numFmtId="0" fontId="8" fillId="24" borderId="19" xfId="85" applyFont="1" applyFill="1" applyBorder="1" applyAlignment="1">
      <alignment horizontal="center"/>
      <protection/>
    </xf>
    <xf numFmtId="0" fontId="3" fillId="24" borderId="14" xfId="85" applyFont="1" applyFill="1" applyBorder="1" applyAlignment="1">
      <alignment horizontal="center"/>
      <protection/>
    </xf>
    <xf numFmtId="0" fontId="3" fillId="24" borderId="20" xfId="85" applyFont="1" applyFill="1" applyBorder="1" applyAlignment="1">
      <alignment horizontal="center"/>
      <protection/>
    </xf>
    <xf numFmtId="0" fontId="3" fillId="24" borderId="21" xfId="85" applyFont="1" applyFill="1" applyBorder="1" applyAlignment="1">
      <alignment horizontal="center"/>
      <protection/>
    </xf>
    <xf numFmtId="0" fontId="8" fillId="24" borderId="22" xfId="85" applyFont="1" applyFill="1" applyBorder="1" applyAlignment="1">
      <alignment horizontal="center"/>
      <protection/>
    </xf>
    <xf numFmtId="0" fontId="18" fillId="0" borderId="10" xfId="0" applyFont="1" applyBorder="1" applyAlignment="1">
      <alignment horizontal="center"/>
    </xf>
    <xf numFmtId="0" fontId="3" fillId="24" borderId="19" xfId="85" applyFont="1" applyFill="1" applyBorder="1" applyAlignment="1">
      <alignment horizontal="center"/>
      <protection/>
    </xf>
    <xf numFmtId="1" fontId="3" fillId="24" borderId="19" xfId="85" applyNumberFormat="1" applyFont="1" applyFill="1" applyBorder="1" applyAlignment="1">
      <alignment horizontal="center"/>
      <protection/>
    </xf>
    <xf numFmtId="0" fontId="3" fillId="24" borderId="22" xfId="85" applyFont="1" applyFill="1" applyBorder="1" applyAlignment="1">
      <alignment horizontal="center"/>
      <protection/>
    </xf>
    <xf numFmtId="1" fontId="3" fillId="24" borderId="22" xfId="85" applyNumberFormat="1" applyFont="1" applyFill="1" applyBorder="1" applyAlignment="1">
      <alignment horizontal="center"/>
      <protection/>
    </xf>
    <xf numFmtId="0" fontId="3" fillId="0" borderId="13" xfId="85" applyFont="1" applyBorder="1" applyProtection="1">
      <alignment/>
      <protection locked="0"/>
    </xf>
    <xf numFmtId="2" fontId="18" fillId="24" borderId="0" xfId="85" applyNumberFormat="1" applyFill="1" applyProtection="1">
      <alignment/>
      <protection hidden="1"/>
    </xf>
    <xf numFmtId="0" fontId="0" fillId="0" borderId="0" xfId="85" applyFont="1" applyProtection="1">
      <alignment/>
      <protection hidden="1"/>
    </xf>
    <xf numFmtId="0" fontId="18" fillId="24" borderId="0" xfId="85" applyFill="1" applyAlignment="1" applyProtection="1">
      <alignment horizontal="left" wrapText="1"/>
      <protection hidden="1"/>
    </xf>
    <xf numFmtId="0" fontId="18" fillId="22" borderId="13" xfId="85" applyFill="1" applyBorder="1" applyAlignment="1" applyProtection="1">
      <alignment horizontal="center"/>
      <protection locked="0"/>
    </xf>
    <xf numFmtId="0" fontId="18" fillId="24" borderId="10" xfId="85" applyFill="1" applyBorder="1" applyAlignment="1">
      <alignment horizontal="left" wrapText="1"/>
      <protection/>
    </xf>
    <xf numFmtId="0" fontId="18" fillId="6" borderId="13" xfId="85" applyFill="1" applyBorder="1" applyAlignment="1" applyProtection="1">
      <alignment horizontal="right" wrapText="1"/>
      <protection hidden="1"/>
    </xf>
    <xf numFmtId="0" fontId="37" fillId="10" borderId="13" xfId="85" applyFont="1" applyFill="1" applyBorder="1" applyAlignment="1" applyProtection="1">
      <alignment horizontal="right" wrapText="1"/>
      <protection hidden="1"/>
    </xf>
    <xf numFmtId="0" fontId="18" fillId="11" borderId="13" xfId="85" applyFill="1" applyBorder="1" applyAlignment="1" applyProtection="1">
      <alignment horizontal="right" wrapText="1"/>
      <protection hidden="1"/>
    </xf>
    <xf numFmtId="0" fontId="39" fillId="17" borderId="14" xfId="85" applyFont="1" applyFill="1" applyBorder="1" applyAlignment="1" applyProtection="1">
      <alignment horizontal="right" wrapText="1"/>
      <protection hidden="1"/>
    </xf>
    <xf numFmtId="0" fontId="27" fillId="24" borderId="0" xfId="84" applyFont="1" applyFill="1" applyProtection="1">
      <alignment/>
      <protection hidden="1"/>
    </xf>
    <xf numFmtId="0" fontId="18" fillId="24" borderId="0" xfId="84" applyFont="1" applyFill="1">
      <alignment/>
      <protection/>
    </xf>
    <xf numFmtId="0" fontId="31" fillId="24" borderId="0" xfId="85" applyFont="1" applyFill="1">
      <alignment/>
      <protection/>
    </xf>
    <xf numFmtId="2" fontId="18" fillId="24" borderId="0" xfId="85" applyNumberFormat="1" applyFill="1">
      <alignment/>
      <protection/>
    </xf>
    <xf numFmtId="182" fontId="33" fillId="24" borderId="0" xfId="85" applyNumberFormat="1" applyFont="1" applyFill="1" applyProtection="1">
      <alignment/>
      <protection hidden="1"/>
    </xf>
    <xf numFmtId="0" fontId="34" fillId="24" borderId="0" xfId="85" applyFont="1" applyFill="1" applyAlignment="1" applyProtection="1">
      <alignment wrapText="1"/>
      <protection hidden="1"/>
    </xf>
    <xf numFmtId="0" fontId="30" fillId="24" borderId="0" xfId="85" applyFont="1" applyFill="1" applyAlignment="1" applyProtection="1">
      <alignment wrapText="1"/>
      <protection hidden="1"/>
    </xf>
    <xf numFmtId="0" fontId="15" fillId="24" borderId="0" xfId="85" applyFont="1" applyFill="1" applyAlignment="1">
      <alignment wrapText="1"/>
      <protection/>
    </xf>
    <xf numFmtId="0" fontId="30" fillId="24" borderId="0" xfId="85" applyFont="1" applyFill="1" applyProtection="1">
      <alignment/>
      <protection hidden="1"/>
    </xf>
    <xf numFmtId="0" fontId="3" fillId="22" borderId="10" xfId="0" applyFont="1" applyFill="1" applyBorder="1" applyAlignment="1" applyProtection="1">
      <alignment/>
      <protection hidden="1"/>
    </xf>
    <xf numFmtId="9" fontId="3" fillId="6" borderId="10" xfId="0" applyNumberFormat="1" applyFont="1" applyFill="1" applyBorder="1" applyAlignment="1" applyProtection="1">
      <alignment/>
      <protection hidden="1"/>
    </xf>
    <xf numFmtId="0" fontId="3" fillId="0" borderId="10" xfId="85" applyFont="1" applyBorder="1" applyProtection="1">
      <alignment/>
      <protection locked="0"/>
    </xf>
    <xf numFmtId="0" fontId="0" fillId="24" borderId="0" xfId="85" applyFont="1" applyFill="1" applyProtection="1">
      <alignment/>
      <protection locked="0"/>
    </xf>
    <xf numFmtId="182" fontId="12" fillId="24" borderId="0" xfId="85" applyNumberFormat="1" applyFont="1" applyFill="1" applyAlignment="1" applyProtection="1">
      <alignment horizontal="right"/>
      <protection hidden="1"/>
    </xf>
    <xf numFmtId="0" fontId="3" fillId="24" borderId="0" xfId="85" applyFont="1" applyFill="1" applyAlignment="1" applyProtection="1">
      <alignment vertical="center"/>
      <protection hidden="1"/>
    </xf>
    <xf numFmtId="0" fontId="3" fillId="24" borderId="0" xfId="85" applyFont="1" applyFill="1" applyAlignment="1" applyProtection="1">
      <alignment wrapText="1"/>
      <protection hidden="1"/>
    </xf>
    <xf numFmtId="0" fontId="3" fillId="24" borderId="0" xfId="85" applyFont="1" applyFill="1" applyAlignment="1" applyProtection="1">
      <alignment vertical="center" wrapText="1"/>
      <protection hidden="1"/>
    </xf>
    <xf numFmtId="0" fontId="3" fillId="24" borderId="0" xfId="85" applyFont="1" applyFill="1" applyAlignment="1" applyProtection="1">
      <alignment horizontal="left" vertical="center" wrapText="1"/>
      <protection hidden="1"/>
    </xf>
    <xf numFmtId="2" fontId="13" fillId="24" borderId="0" xfId="85" applyNumberFormat="1" applyFont="1" applyFill="1" applyAlignment="1" applyProtection="1">
      <alignment horizontal="left"/>
      <protection hidden="1"/>
    </xf>
    <xf numFmtId="0" fontId="16" fillId="24" borderId="0" xfId="85" applyFont="1" applyFill="1" applyAlignment="1" applyProtection="1">
      <alignment horizontal="left"/>
      <protection hidden="1"/>
    </xf>
    <xf numFmtId="0" fontId="13" fillId="24" borderId="0" xfId="85" applyFont="1" applyFill="1">
      <alignment/>
      <protection/>
    </xf>
    <xf numFmtId="0" fontId="18" fillId="0" borderId="0" xfId="85">
      <alignment/>
      <protection/>
    </xf>
    <xf numFmtId="184" fontId="27" fillId="0" borderId="0" xfId="84" applyNumberFormat="1" applyFont="1" applyAlignment="1" applyProtection="1">
      <alignment horizontal="center" wrapText="1"/>
      <protection locked="0"/>
    </xf>
    <xf numFmtId="0" fontId="18" fillId="24" borderId="10" xfId="84" applyFont="1" applyFill="1" applyBorder="1" applyProtection="1">
      <alignment/>
      <protection hidden="1"/>
    </xf>
    <xf numFmtId="183" fontId="18" fillId="24" borderId="10" xfId="84" applyNumberFormat="1" applyFont="1" applyFill="1" applyBorder="1" applyProtection="1">
      <alignment/>
      <protection hidden="1"/>
    </xf>
    <xf numFmtId="183" fontId="18" fillId="24" borderId="15" xfId="84" applyNumberFormat="1" applyFont="1" applyFill="1" applyBorder="1" applyProtection="1">
      <alignment/>
      <protection hidden="1"/>
    </xf>
    <xf numFmtId="182" fontId="18" fillId="0" borderId="0" xfId="85" applyNumberFormat="1">
      <alignment/>
      <protection/>
    </xf>
    <xf numFmtId="0" fontId="3" fillId="0" borderId="15" xfId="85" applyFont="1" applyBorder="1" applyAlignment="1">
      <alignment horizontal="center"/>
      <protection/>
    </xf>
    <xf numFmtId="0" fontId="18" fillId="0" borderId="15" xfId="85" applyBorder="1" applyAlignment="1">
      <alignment horizontal="center"/>
      <protection/>
    </xf>
    <xf numFmtId="0" fontId="20" fillId="24" borderId="0" xfId="85" applyFont="1" applyFill="1">
      <alignment/>
      <protection/>
    </xf>
    <xf numFmtId="0" fontId="18" fillId="0" borderId="11" xfId="85" applyBorder="1" applyAlignment="1">
      <alignment horizontal="center"/>
      <protection/>
    </xf>
    <xf numFmtId="0" fontId="5" fillId="24" borderId="0" xfId="85" applyFont="1" applyFill="1" applyAlignment="1" applyProtection="1">
      <alignment horizontal="center"/>
      <protection hidden="1"/>
    </xf>
    <xf numFmtId="0" fontId="5" fillId="24" borderId="0" xfId="85" applyFont="1" applyFill="1" applyAlignment="1">
      <alignment horizontal="center"/>
      <protection/>
    </xf>
    <xf numFmtId="0" fontId="3" fillId="24" borderId="0" xfId="85" applyFont="1" applyFill="1" applyAlignment="1" applyProtection="1">
      <alignment horizontal="center"/>
      <protection hidden="1"/>
    </xf>
    <xf numFmtId="0" fontId="3" fillId="6" borderId="15" xfId="0" applyFont="1" applyFill="1" applyBorder="1" applyAlignment="1">
      <alignment horizontal="center" wrapText="1"/>
    </xf>
    <xf numFmtId="0" fontId="3" fillId="6" borderId="23" xfId="0" applyFont="1" applyFill="1" applyBorder="1" applyAlignment="1" quotePrefix="1">
      <alignment horizontal="center" wrapText="1"/>
    </xf>
    <xf numFmtId="0" fontId="7" fillId="17" borderId="23" xfId="0" applyFont="1" applyFill="1" applyBorder="1" applyAlignment="1">
      <alignment horizontal="center" wrapText="1"/>
    </xf>
    <xf numFmtId="0" fontId="7" fillId="17" borderId="23" xfId="0" applyFont="1" applyFill="1" applyBorder="1" applyAlignment="1" quotePrefix="1">
      <alignment horizontal="center" wrapText="1"/>
    </xf>
    <xf numFmtId="0" fontId="7" fillId="17" borderId="20" xfId="0" applyFont="1" applyFill="1" applyBorder="1" applyAlignment="1">
      <alignment horizontal="center" wrapText="1"/>
    </xf>
    <xf numFmtId="0" fontId="18" fillId="0" borderId="12" xfId="85" applyBorder="1" applyAlignment="1">
      <alignment horizontal="center"/>
      <protection/>
    </xf>
    <xf numFmtId="0" fontId="17" fillId="24" borderId="0" xfId="65" applyFont="1" applyFill="1" applyAlignment="1" applyProtection="1">
      <alignment horizontal="right"/>
      <protection/>
    </xf>
    <xf numFmtId="0" fontId="3" fillId="4" borderId="24" xfId="85" applyFont="1" applyFill="1" applyBorder="1" applyAlignment="1" applyProtection="1">
      <alignment horizontal="right"/>
      <protection hidden="1"/>
    </xf>
    <xf numFmtId="0" fontId="18" fillId="22" borderId="23" xfId="85" applyFill="1" applyBorder="1" applyAlignment="1" applyProtection="1">
      <alignment horizontal="center"/>
      <protection locked="0"/>
    </xf>
    <xf numFmtId="0" fontId="18" fillId="22" borderId="13" xfId="0" applyFont="1" applyFill="1" applyBorder="1" applyAlignment="1" applyProtection="1">
      <alignment horizontal="center"/>
      <protection locked="0"/>
    </xf>
    <xf numFmtId="0" fontId="18" fillId="22" borderId="23" xfId="0" applyFont="1" applyFill="1" applyBorder="1" applyAlignment="1" applyProtection="1">
      <alignment horizontal="center"/>
      <protection locked="0"/>
    </xf>
    <xf numFmtId="0" fontId="18" fillId="17" borderId="0" xfId="85" applyFill="1">
      <alignment/>
      <protection/>
    </xf>
    <xf numFmtId="0" fontId="66" fillId="24" borderId="0" xfId="85" applyFont="1" applyFill="1" applyAlignment="1" applyProtection="1">
      <alignment horizontal="centerContinuous"/>
      <protection hidden="1"/>
    </xf>
    <xf numFmtId="0" fontId="18" fillId="24" borderId="0" xfId="85" applyFill="1" applyAlignment="1" applyProtection="1">
      <alignment horizontal="centerContinuous"/>
      <protection hidden="1"/>
    </xf>
    <xf numFmtId="0" fontId="0" fillId="24" borderId="0" xfId="85" applyFont="1" applyFill="1" applyAlignment="1" applyProtection="1">
      <alignment horizontal="centerContinuous"/>
      <protection hidden="1"/>
    </xf>
    <xf numFmtId="0" fontId="27" fillId="0" borderId="0" xfId="85" applyFont="1" applyAlignment="1" applyProtection="1">
      <alignment horizontal="center"/>
      <protection hidden="1"/>
    </xf>
    <xf numFmtId="0" fontId="0" fillId="0" borderId="0" xfId="83">
      <alignment/>
      <protection/>
    </xf>
    <xf numFmtId="0" fontId="3" fillId="24" borderId="0" xfId="85" applyFont="1" applyFill="1" applyAlignment="1" applyProtection="1">
      <alignment horizontal="centerContinuous"/>
      <protection hidden="1"/>
    </xf>
    <xf numFmtId="0" fontId="3" fillId="24" borderId="0" xfId="83" applyFont="1" applyFill="1" applyAlignment="1" applyProtection="1">
      <alignment horizontal="left"/>
      <protection hidden="1"/>
    </xf>
    <xf numFmtId="0" fontId="68" fillId="24" borderId="25" xfId="77" applyFont="1" applyFill="1" applyBorder="1" applyAlignment="1" quotePrefix="1">
      <alignment horizontal="center"/>
      <protection/>
    </xf>
    <xf numFmtId="0" fontId="21" fillId="0" borderId="0" xfId="85" applyFont="1" applyProtection="1">
      <alignment/>
      <protection hidden="1"/>
    </xf>
    <xf numFmtId="0" fontId="18" fillId="0" borderId="0" xfId="85" applyProtection="1">
      <alignment/>
      <protection hidden="1"/>
    </xf>
    <xf numFmtId="0" fontId="21" fillId="25" borderId="0" xfId="85" applyFont="1" applyFill="1" applyAlignment="1" applyProtection="1">
      <alignment horizontal="center"/>
      <protection hidden="1"/>
    </xf>
    <xf numFmtId="182" fontId="21" fillId="25" borderId="0" xfId="85" applyNumberFormat="1" applyFont="1" applyFill="1" applyAlignment="1" applyProtection="1">
      <alignment horizontal="center"/>
      <protection hidden="1"/>
    </xf>
    <xf numFmtId="0" fontId="21" fillId="0" borderId="0" xfId="85" applyFont="1" applyProtection="1">
      <alignment/>
      <protection locked="0"/>
    </xf>
    <xf numFmtId="0" fontId="21" fillId="25" borderId="25" xfId="85" applyFont="1" applyFill="1" applyBorder="1" applyAlignment="1" applyProtection="1">
      <alignment horizontal="center"/>
      <protection hidden="1"/>
    </xf>
    <xf numFmtId="0" fontId="21" fillId="25" borderId="26" xfId="85" applyFont="1" applyFill="1" applyBorder="1" applyAlignment="1" applyProtection="1">
      <alignment horizontal="center"/>
      <protection hidden="1"/>
    </xf>
    <xf numFmtId="0" fontId="21" fillId="0" borderId="0" xfId="85" applyFont="1" applyAlignment="1" applyProtection="1">
      <alignment horizontal="right"/>
      <protection locked="0"/>
    </xf>
    <xf numFmtId="0" fontId="25" fillId="0" borderId="0" xfId="85" applyFont="1" applyAlignment="1" applyProtection="1">
      <alignment horizontal="center"/>
      <protection hidden="1"/>
    </xf>
    <xf numFmtId="0" fontId="77" fillId="0" borderId="0" xfId="85" applyFont="1" applyProtection="1">
      <alignment/>
      <protection hidden="1"/>
    </xf>
    <xf numFmtId="0" fontId="13" fillId="0" borderId="0" xfId="85" applyFont="1" applyAlignment="1" applyProtection="1">
      <alignment horizontal="center"/>
      <protection hidden="1"/>
    </xf>
    <xf numFmtId="182" fontId="21" fillId="0" borderId="0" xfId="85" applyNumberFormat="1" applyFont="1" applyProtection="1">
      <alignment/>
      <protection hidden="1"/>
    </xf>
    <xf numFmtId="0" fontId="76" fillId="0" borderId="0" xfId="85" applyFont="1" applyProtection="1">
      <alignment/>
      <protection locked="0"/>
    </xf>
    <xf numFmtId="0" fontId="21" fillId="0" borderId="25" xfId="85" applyFont="1" applyBorder="1" applyProtection="1">
      <alignment/>
      <protection hidden="1"/>
    </xf>
    <xf numFmtId="0" fontId="21" fillId="0" borderId="26" xfId="85" applyFont="1" applyBorder="1" applyProtection="1">
      <alignment/>
      <protection hidden="1"/>
    </xf>
    <xf numFmtId="0" fontId="10" fillId="0" borderId="0" xfId="85" applyFont="1" applyAlignment="1" applyProtection="1">
      <alignment horizontal="right"/>
      <protection hidden="1"/>
    </xf>
    <xf numFmtId="0" fontId="25" fillId="0" borderId="0" xfId="85" applyFont="1" applyProtection="1">
      <alignment/>
      <protection locked="0"/>
    </xf>
    <xf numFmtId="0" fontId="25" fillId="0" borderId="0" xfId="85" applyFont="1" applyAlignment="1" applyProtection="1">
      <alignment horizontal="right"/>
      <protection locked="0"/>
    </xf>
    <xf numFmtId="0" fontId="25" fillId="0" borderId="0" xfId="85" applyFont="1" applyProtection="1">
      <alignment/>
      <protection hidden="1"/>
    </xf>
    <xf numFmtId="182" fontId="25" fillId="0" borderId="0" xfId="85" applyNumberFormat="1" applyFont="1" applyProtection="1">
      <alignment/>
      <protection hidden="1"/>
    </xf>
    <xf numFmtId="0" fontId="79" fillId="0" borderId="0" xfId="85" applyFont="1" applyProtection="1">
      <alignment/>
      <protection locked="0"/>
    </xf>
    <xf numFmtId="0" fontId="25" fillId="0" borderId="25" xfId="85" applyFont="1" applyBorder="1" applyProtection="1">
      <alignment/>
      <protection hidden="1"/>
    </xf>
    <xf numFmtId="0" fontId="25" fillId="0" borderId="26" xfId="85" applyFont="1" applyBorder="1" applyProtection="1">
      <alignment/>
      <protection hidden="1"/>
    </xf>
    <xf numFmtId="0" fontId="18" fillId="0" borderId="23" xfId="85" applyBorder="1">
      <alignment/>
      <protection/>
    </xf>
    <xf numFmtId="0" fontId="3" fillId="0" borderId="27" xfId="85" applyFont="1" applyBorder="1">
      <alignment/>
      <protection/>
    </xf>
    <xf numFmtId="0" fontId="0" fillId="0" borderId="23" xfId="85" applyFont="1" applyBorder="1" applyAlignment="1">
      <alignment horizontal="center"/>
      <protection/>
    </xf>
    <xf numFmtId="0" fontId="18" fillId="0" borderId="0" xfId="83" applyFont="1">
      <alignment/>
      <protection/>
    </xf>
    <xf numFmtId="0" fontId="25" fillId="25" borderId="0" xfId="85" applyFont="1" applyFill="1" applyAlignment="1" applyProtection="1">
      <alignment horizontal="center"/>
      <protection hidden="1"/>
    </xf>
    <xf numFmtId="182" fontId="25" fillId="25" borderId="0" xfId="85" applyNumberFormat="1" applyFont="1" applyFill="1" applyAlignment="1" applyProtection="1">
      <alignment horizontal="center"/>
      <protection hidden="1"/>
    </xf>
    <xf numFmtId="0" fontId="3" fillId="0" borderId="0" xfId="85" applyFont="1" applyProtection="1">
      <alignment/>
      <protection hidden="1"/>
    </xf>
    <xf numFmtId="182" fontId="25" fillId="0" borderId="25" xfId="85" applyNumberFormat="1" applyFont="1" applyBorder="1" applyProtection="1">
      <alignment/>
      <protection hidden="1"/>
    </xf>
    <xf numFmtId="182" fontId="25" fillId="0" borderId="28" xfId="85" applyNumberFormat="1" applyFont="1" applyBorder="1" applyProtection="1">
      <alignment/>
      <protection hidden="1"/>
    </xf>
    <xf numFmtId="0" fontId="25" fillId="0" borderId="28" xfId="85" applyFont="1" applyBorder="1" applyProtection="1">
      <alignment/>
      <protection hidden="1"/>
    </xf>
    <xf numFmtId="0" fontId="25" fillId="0" borderId="29" xfId="85" applyFont="1" applyBorder="1" applyProtection="1">
      <alignment/>
      <protection hidden="1"/>
    </xf>
    <xf numFmtId="0" fontId="27" fillId="24" borderId="0" xfId="85" applyFont="1" applyFill="1" applyAlignment="1">
      <alignment horizontal="center"/>
      <protection/>
    </xf>
    <xf numFmtId="1" fontId="27" fillId="0" borderId="0" xfId="85" applyNumberFormat="1" applyFont="1" applyProtection="1">
      <alignment/>
      <protection hidden="1"/>
    </xf>
    <xf numFmtId="182" fontId="3" fillId="24" borderId="0" xfId="85" applyNumberFormat="1" applyFont="1" applyFill="1" applyProtection="1">
      <alignment/>
      <protection hidden="1"/>
    </xf>
    <xf numFmtId="0" fontId="0" fillId="24" borderId="0" xfId="77" applyFill="1" applyProtection="1">
      <alignment/>
      <protection hidden="1"/>
    </xf>
    <xf numFmtId="0" fontId="83" fillId="24" borderId="0" xfId="85" applyFont="1" applyFill="1" applyProtection="1">
      <alignment/>
      <protection hidden="1"/>
    </xf>
    <xf numFmtId="0" fontId="3" fillId="24" borderId="0" xfId="77" applyFont="1" applyFill="1" applyProtection="1">
      <alignment/>
      <protection hidden="1"/>
    </xf>
    <xf numFmtId="0" fontId="21" fillId="24" borderId="24" xfId="85" applyFont="1" applyFill="1" applyBorder="1" applyAlignment="1" applyProtection="1">
      <alignment horizontal="center"/>
      <protection hidden="1"/>
    </xf>
    <xf numFmtId="2" fontId="21" fillId="24" borderId="24" xfId="85" applyNumberFormat="1" applyFont="1" applyFill="1" applyBorder="1" applyAlignment="1" applyProtection="1">
      <alignment horizontal="center"/>
      <protection hidden="1"/>
    </xf>
    <xf numFmtId="185" fontId="21" fillId="0" borderId="24" xfId="85" applyNumberFormat="1" applyFont="1" applyBorder="1" applyAlignment="1" applyProtection="1">
      <alignment horizontal="center"/>
      <protection hidden="1"/>
    </xf>
    <xf numFmtId="0" fontId="27" fillId="24" borderId="0" xfId="85" applyFont="1" applyFill="1" applyProtection="1">
      <alignment/>
      <protection hidden="1"/>
    </xf>
    <xf numFmtId="1" fontId="3" fillId="24" borderId="22" xfId="85" applyNumberFormat="1" applyFont="1" applyFill="1" applyBorder="1" applyProtection="1">
      <alignment/>
      <protection hidden="1"/>
    </xf>
    <xf numFmtId="0" fontId="18" fillId="0" borderId="21" xfId="77" applyFont="1" applyBorder="1" applyAlignment="1" applyProtection="1">
      <alignment horizontal="center"/>
      <protection hidden="1"/>
    </xf>
    <xf numFmtId="2" fontId="3" fillId="24" borderId="0" xfId="85" applyNumberFormat="1" applyFont="1" applyFill="1" applyProtection="1">
      <alignment/>
      <protection hidden="1"/>
    </xf>
    <xf numFmtId="0" fontId="18" fillId="0" borderId="10" xfId="77" applyFont="1" applyBorder="1" applyAlignment="1" applyProtection="1">
      <alignment horizontal="center"/>
      <protection hidden="1"/>
    </xf>
    <xf numFmtId="0" fontId="18" fillId="0" borderId="0" xfId="77" applyFont="1" applyProtection="1">
      <alignment/>
      <protection hidden="1"/>
    </xf>
    <xf numFmtId="187" fontId="18" fillId="0" borderId="0" xfId="77" applyNumberFormat="1" applyFont="1" applyProtection="1">
      <alignment/>
      <protection hidden="1"/>
    </xf>
    <xf numFmtId="2" fontId="18" fillId="0" borderId="0" xfId="77" applyNumberFormat="1" applyFont="1" applyProtection="1">
      <alignment/>
      <protection hidden="1"/>
    </xf>
    <xf numFmtId="2" fontId="0" fillId="24" borderId="0" xfId="77" applyNumberFormat="1" applyFill="1" applyProtection="1">
      <alignment/>
      <protection hidden="1"/>
    </xf>
    <xf numFmtId="182" fontId="3" fillId="24" borderId="0" xfId="84" applyNumberFormat="1" applyFont="1" applyFill="1" applyAlignment="1" applyProtection="1">
      <alignment horizontal="right"/>
      <protection hidden="1"/>
    </xf>
    <xf numFmtId="0" fontId="0" fillId="24" borderId="0" xfId="77" applyFill="1" applyAlignment="1" applyProtection="1">
      <alignment horizontal="center"/>
      <protection hidden="1"/>
    </xf>
    <xf numFmtId="2" fontId="18" fillId="24" borderId="0" xfId="85" applyNumberFormat="1" applyFill="1" applyAlignment="1" applyProtection="1">
      <alignment horizontal="center"/>
      <protection hidden="1"/>
    </xf>
    <xf numFmtId="0" fontId="13" fillId="24" borderId="0" xfId="85" applyFont="1" applyFill="1" applyProtection="1">
      <alignment/>
      <protection hidden="1"/>
    </xf>
    <xf numFmtId="0" fontId="13" fillId="0" borderId="0" xfId="85" applyFont="1" applyProtection="1">
      <alignment/>
      <protection hidden="1"/>
    </xf>
    <xf numFmtId="182" fontId="3" fillId="0" borderId="0" xfId="85" applyNumberFormat="1" applyFont="1" applyProtection="1">
      <alignment/>
      <protection hidden="1"/>
    </xf>
    <xf numFmtId="0" fontId="16" fillId="24" borderId="0" xfId="83" applyFont="1" applyFill="1">
      <alignment/>
      <protection/>
    </xf>
    <xf numFmtId="0" fontId="0" fillId="24" borderId="0" xfId="83" applyFill="1" applyProtection="1">
      <alignment/>
      <protection hidden="1"/>
    </xf>
    <xf numFmtId="0" fontId="18" fillId="20" borderId="15" xfId="85" applyFill="1" applyBorder="1" applyProtection="1">
      <alignment/>
      <protection hidden="1"/>
    </xf>
    <xf numFmtId="0" fontId="67" fillId="20" borderId="23" xfId="0" applyFont="1" applyFill="1" applyBorder="1" applyAlignment="1">
      <alignment horizontal="center"/>
    </xf>
    <xf numFmtId="0" fontId="3" fillId="24" borderId="0" xfId="85" applyFont="1" applyFill="1" applyAlignment="1">
      <alignment horizontal="left"/>
      <protection/>
    </xf>
    <xf numFmtId="0" fontId="17" fillId="24" borderId="0" xfId="68" applyFont="1" applyFill="1" applyAlignment="1" applyProtection="1">
      <alignment horizontal="left"/>
      <protection hidden="1"/>
    </xf>
    <xf numFmtId="0" fontId="18" fillId="24" borderId="12" xfId="84" applyFont="1" applyFill="1" applyBorder="1" applyAlignment="1" applyProtection="1">
      <alignment horizontal="centerContinuous"/>
      <protection hidden="1"/>
    </xf>
    <xf numFmtId="183" fontId="18" fillId="24" borderId="15" xfId="84" applyNumberFormat="1" applyFont="1" applyFill="1" applyBorder="1" applyAlignment="1" applyProtection="1">
      <alignment horizontal="center" vertical="center" wrapText="1"/>
      <protection hidden="1"/>
    </xf>
    <xf numFmtId="0" fontId="18" fillId="24" borderId="20" xfId="84" applyFont="1" applyFill="1" applyBorder="1" applyAlignment="1" applyProtection="1">
      <alignment horizontal="center"/>
      <protection hidden="1"/>
    </xf>
    <xf numFmtId="183" fontId="18" fillId="24" borderId="20" xfId="84" applyNumberFormat="1" applyFont="1" applyFill="1" applyBorder="1" applyAlignment="1" applyProtection="1">
      <alignment horizontal="center"/>
      <protection hidden="1"/>
    </xf>
    <xf numFmtId="183" fontId="18" fillId="0" borderId="10" xfId="84" applyNumberFormat="1" applyFont="1" applyBorder="1" applyProtection="1">
      <alignment/>
      <protection hidden="1"/>
    </xf>
    <xf numFmtId="0" fontId="13" fillId="0" borderId="0" xfId="85" applyFont="1" applyAlignment="1" applyProtection="1">
      <alignment horizontal="right"/>
      <protection hidden="1"/>
    </xf>
    <xf numFmtId="0" fontId="37" fillId="24" borderId="0" xfId="67" applyFont="1" applyFill="1" applyAlignment="1" applyProtection="1">
      <alignment horizontal="left" vertical="top" wrapText="1"/>
      <protection hidden="1"/>
    </xf>
    <xf numFmtId="0" fontId="5" fillId="24" borderId="0" xfId="85" applyFont="1" applyFill="1" applyProtection="1">
      <alignment/>
      <protection hidden="1"/>
    </xf>
    <xf numFmtId="0" fontId="25" fillId="24" borderId="0" xfId="85" applyFont="1" applyFill="1" applyAlignment="1" applyProtection="1">
      <alignment horizontal="left"/>
      <protection hidden="1"/>
    </xf>
    <xf numFmtId="0" fontId="3" fillId="24" borderId="0" xfId="77" applyFont="1" applyFill="1" applyAlignment="1" applyProtection="1">
      <alignment horizontal="center" wrapText="1"/>
      <protection hidden="1"/>
    </xf>
    <xf numFmtId="0" fontId="13" fillId="24" borderId="0" xfId="85" applyFont="1" applyFill="1" applyAlignment="1" applyProtection="1">
      <alignment horizontal="right"/>
      <protection hidden="1"/>
    </xf>
    <xf numFmtId="2" fontId="3" fillId="24" borderId="0" xfId="84" applyNumberFormat="1" applyFont="1" applyFill="1" applyProtection="1">
      <alignment/>
      <protection hidden="1"/>
    </xf>
    <xf numFmtId="0" fontId="13" fillId="24" borderId="0" xfId="85" applyFont="1" applyFill="1" applyAlignment="1" applyProtection="1">
      <alignment horizontal="left"/>
      <protection hidden="1"/>
    </xf>
    <xf numFmtId="0" fontId="21" fillId="24" borderId="30" xfId="85" applyFont="1" applyFill="1" applyBorder="1" applyAlignment="1" applyProtection="1">
      <alignment horizontal="center"/>
      <protection hidden="1"/>
    </xf>
    <xf numFmtId="1" fontId="21" fillId="24" borderId="24" xfId="85" applyNumberFormat="1" applyFont="1" applyFill="1" applyBorder="1" applyAlignment="1" applyProtection="1">
      <alignment horizontal="center"/>
      <protection hidden="1"/>
    </xf>
    <xf numFmtId="182" fontId="21" fillId="24" borderId="29" xfId="85" applyNumberFormat="1" applyFont="1" applyFill="1" applyBorder="1" applyAlignment="1" applyProtection="1">
      <alignment horizontal="center"/>
      <protection hidden="1"/>
    </xf>
    <xf numFmtId="2" fontId="21" fillId="24" borderId="29" xfId="85" applyNumberFormat="1" applyFont="1" applyFill="1" applyBorder="1" applyAlignment="1" applyProtection="1">
      <alignment horizontal="center"/>
      <protection hidden="1"/>
    </xf>
    <xf numFmtId="0" fontId="3" fillId="24" borderId="0" xfId="77" applyFont="1" applyFill="1" applyAlignment="1" applyProtection="1">
      <alignment horizontal="left"/>
      <protection hidden="1"/>
    </xf>
    <xf numFmtId="0" fontId="21" fillId="24" borderId="0" xfId="85" applyFont="1" applyFill="1" applyProtection="1">
      <alignment/>
      <protection locked="0"/>
    </xf>
    <xf numFmtId="0" fontId="21" fillId="24" borderId="0" xfId="85" applyFont="1" applyFill="1" applyAlignment="1" applyProtection="1">
      <alignment horizontal="right"/>
      <protection locked="0"/>
    </xf>
    <xf numFmtId="182" fontId="21" fillId="24" borderId="0" xfId="85" applyNumberFormat="1" applyFont="1" applyFill="1" applyProtection="1">
      <alignment/>
      <protection locked="0"/>
    </xf>
    <xf numFmtId="0" fontId="25" fillId="24" borderId="0" xfId="85" applyFont="1" applyFill="1" applyProtection="1">
      <alignment/>
      <protection locked="0"/>
    </xf>
    <xf numFmtId="0" fontId="28" fillId="24" borderId="0" xfId="85" applyFont="1" applyFill="1" applyAlignment="1" applyProtection="1">
      <alignment wrapText="1"/>
      <protection hidden="1"/>
    </xf>
    <xf numFmtId="0" fontId="0" fillId="24" borderId="0" xfId="83" applyFill="1" applyAlignment="1" applyProtection="1">
      <alignment horizontal="right"/>
      <protection hidden="1"/>
    </xf>
    <xf numFmtId="0" fontId="10" fillId="24" borderId="0" xfId="85" applyFont="1" applyFill="1" applyAlignment="1" applyProtection="1">
      <alignment horizontal="right"/>
      <protection hidden="1"/>
    </xf>
    <xf numFmtId="0" fontId="27" fillId="24" borderId="0" xfId="85" applyFont="1" applyFill="1" applyAlignment="1" applyProtection="1">
      <alignment horizontal="center"/>
      <protection hidden="1"/>
    </xf>
    <xf numFmtId="0" fontId="17" fillId="0" borderId="0" xfId="68" applyFont="1" applyAlignment="1" applyProtection="1">
      <alignment horizontal="right"/>
      <protection hidden="1"/>
    </xf>
    <xf numFmtId="0" fontId="24" fillId="0" borderId="0" xfId="85" applyFont="1" applyProtection="1">
      <alignment/>
      <protection hidden="1"/>
    </xf>
    <xf numFmtId="0" fontId="24" fillId="0" borderId="0" xfId="85" applyFont="1" applyAlignment="1">
      <alignment horizontal="left"/>
      <protection/>
    </xf>
    <xf numFmtId="0" fontId="84" fillId="0" borderId="0" xfId="85" applyFont="1" applyAlignment="1" applyProtection="1">
      <alignment horizontal="left" vertical="top" wrapText="1"/>
      <protection hidden="1"/>
    </xf>
    <xf numFmtId="0" fontId="84" fillId="0" borderId="0" xfId="85" applyFont="1" applyAlignment="1" applyProtection="1">
      <alignment horizontal="left" vertical="center" wrapText="1"/>
      <protection hidden="1"/>
    </xf>
    <xf numFmtId="0" fontId="27" fillId="0" borderId="0" xfId="85" applyFont="1" applyAlignment="1">
      <alignment horizontal="center"/>
      <protection/>
    </xf>
    <xf numFmtId="0" fontId="82" fillId="0" borderId="0" xfId="85" applyFont="1" applyAlignment="1" applyProtection="1">
      <alignment horizontal="left" vertical="top" wrapText="1"/>
      <protection hidden="1"/>
    </xf>
    <xf numFmtId="0" fontId="81" fillId="0" borderId="0" xfId="85" applyFont="1" applyProtection="1">
      <alignment/>
      <protection hidden="1"/>
    </xf>
    <xf numFmtId="0" fontId="81" fillId="0" borderId="0" xfId="85" applyFont="1">
      <alignment/>
      <protection/>
    </xf>
    <xf numFmtId="0" fontId="18" fillId="0" borderId="0" xfId="85" applyAlignment="1" applyProtection="1">
      <alignment horizontal="centerContinuous"/>
      <protection hidden="1"/>
    </xf>
    <xf numFmtId="0" fontId="18" fillId="22" borderId="0" xfId="85" applyFill="1" applyProtection="1">
      <alignment/>
      <protection hidden="1"/>
    </xf>
    <xf numFmtId="182" fontId="27" fillId="0" borderId="0" xfId="85" applyNumberFormat="1" applyFont="1" applyProtection="1">
      <alignment/>
      <protection hidden="1"/>
    </xf>
    <xf numFmtId="0" fontId="21" fillId="24" borderId="0" xfId="85" applyFont="1" applyFill="1">
      <alignment/>
      <protection/>
    </xf>
    <xf numFmtId="0" fontId="21" fillId="0" borderId="0" xfId="85" applyFont="1">
      <alignment/>
      <protection/>
    </xf>
    <xf numFmtId="0" fontId="25" fillId="0" borderId="0" xfId="85" applyFont="1">
      <alignment/>
      <protection/>
    </xf>
    <xf numFmtId="0" fontId="73" fillId="0" borderId="0" xfId="77" applyFont="1">
      <alignment/>
      <protection/>
    </xf>
    <xf numFmtId="183" fontId="3" fillId="24" borderId="0" xfId="85" applyNumberFormat="1" applyFont="1" applyFill="1" applyProtection="1">
      <alignment/>
      <protection hidden="1"/>
    </xf>
    <xf numFmtId="0" fontId="82" fillId="24" borderId="0" xfId="85" applyFont="1" applyFill="1" applyAlignment="1" applyProtection="1">
      <alignment horizontal="left" wrapText="1"/>
      <protection hidden="1"/>
    </xf>
    <xf numFmtId="0" fontId="85" fillId="26" borderId="0" xfId="85" applyFont="1" applyFill="1" applyAlignment="1" applyProtection="1">
      <alignment wrapText="1"/>
      <protection hidden="1"/>
    </xf>
    <xf numFmtId="0" fontId="84" fillId="24" borderId="0" xfId="85" applyFont="1" applyFill="1" applyAlignment="1" applyProtection="1">
      <alignment horizontal="left" wrapText="1"/>
      <protection hidden="1"/>
    </xf>
    <xf numFmtId="0" fontId="69" fillId="24" borderId="0" xfId="65" applyFont="1" applyFill="1" applyAlignment="1" applyProtection="1">
      <alignment horizontal="center" wrapText="1"/>
      <protection hidden="1"/>
    </xf>
    <xf numFmtId="0" fontId="84" fillId="24" borderId="0" xfId="85" applyFont="1" applyFill="1" applyAlignment="1" applyProtection="1">
      <alignment horizontal="center" wrapText="1"/>
      <protection hidden="1"/>
    </xf>
    <xf numFmtId="0" fontId="86" fillId="24" borderId="0" xfId="85" applyFont="1" applyFill="1" applyAlignment="1" applyProtection="1">
      <alignment horizontal="center" wrapText="1"/>
      <protection hidden="1"/>
    </xf>
    <xf numFmtId="0" fontId="90" fillId="24" borderId="0" xfId="85" applyFont="1" applyFill="1" applyAlignment="1">
      <alignment horizontal="right"/>
      <protection/>
    </xf>
    <xf numFmtId="0" fontId="91" fillId="24" borderId="0" xfId="85" applyFont="1" applyFill="1" applyAlignment="1" applyProtection="1">
      <alignment horizontal="center"/>
      <protection hidden="1"/>
    </xf>
    <xf numFmtId="0" fontId="4" fillId="24" borderId="0" xfId="83" applyFont="1" applyFill="1" applyProtection="1">
      <alignment/>
      <protection hidden="1"/>
    </xf>
    <xf numFmtId="0" fontId="17" fillId="24" borderId="0" xfId="65" applyFont="1" applyFill="1" applyAlignment="1" applyProtection="1">
      <alignment/>
      <protection hidden="1"/>
    </xf>
    <xf numFmtId="2" fontId="68" fillId="24" borderId="0" xfId="85" applyNumberFormat="1" applyFont="1" applyFill="1" applyAlignment="1" quotePrefix="1">
      <alignment wrapText="1"/>
      <protection/>
    </xf>
    <xf numFmtId="2" fontId="68" fillId="24" borderId="0" xfId="0" applyNumberFormat="1" applyFont="1" applyFill="1" applyAlignment="1">
      <alignment wrapText="1"/>
    </xf>
    <xf numFmtId="2" fontId="68" fillId="24" borderId="0" xfId="0" applyNumberFormat="1" applyFont="1" applyFill="1" applyAlignment="1" quotePrefix="1">
      <alignment wrapText="1"/>
    </xf>
    <xf numFmtId="0" fontId="18" fillId="24" borderId="13" xfId="0" applyFont="1" applyFill="1" applyBorder="1" applyAlignment="1">
      <alignment/>
    </xf>
    <xf numFmtId="0" fontId="17" fillId="24" borderId="0" xfId="67" applyFont="1" applyFill="1" applyAlignment="1" applyProtection="1">
      <alignment horizontal="left" vertical="top"/>
      <protection/>
    </xf>
    <xf numFmtId="0" fontId="63" fillId="24" borderId="0" xfId="85" applyFont="1" applyFill="1" applyAlignment="1" applyProtection="1">
      <alignment horizontal="center" vertical="center" wrapText="1"/>
      <protection hidden="1"/>
    </xf>
    <xf numFmtId="0" fontId="36" fillId="24" borderId="0" xfId="0" applyFont="1" applyFill="1" applyAlignment="1" applyProtection="1">
      <alignment horizontal="right"/>
      <protection hidden="1"/>
    </xf>
    <xf numFmtId="0" fontId="17" fillId="24" borderId="0" xfId="65" applyFont="1" applyFill="1" applyAlignment="1" applyProtection="1">
      <alignment horizontal="left"/>
      <protection hidden="1"/>
    </xf>
    <xf numFmtId="0" fontId="17" fillId="24" borderId="0" xfId="65" applyFont="1" applyFill="1" applyAlignment="1" applyProtection="1">
      <alignment horizontal="left"/>
      <protection hidden="1"/>
    </xf>
    <xf numFmtId="0" fontId="17" fillId="24" borderId="0" xfId="65" applyFont="1" applyFill="1" applyAlignment="1" applyProtection="1">
      <alignment horizontal="right"/>
      <protection/>
    </xf>
    <xf numFmtId="0" fontId="0" fillId="27" borderId="0" xfId="0" applyFont="1" applyFill="1" applyAlignment="1">
      <alignment/>
    </xf>
    <xf numFmtId="2" fontId="95" fillId="15" borderId="0" xfId="89" applyNumberFormat="1" applyFont="1" applyFill="1" applyBorder="1" applyAlignment="1" applyProtection="1">
      <alignment horizontal="right"/>
      <protection hidden="1"/>
    </xf>
    <xf numFmtId="2" fontId="95" fillId="27" borderId="0" xfId="92" applyNumberFormat="1" applyFont="1" applyFill="1" applyAlignment="1" applyProtection="1">
      <alignment/>
      <protection hidden="1"/>
    </xf>
    <xf numFmtId="0" fontId="18" fillId="27" borderId="0" xfId="85" applyFill="1">
      <alignment/>
      <protection/>
    </xf>
    <xf numFmtId="0" fontId="18" fillId="0" borderId="0" xfId="85" applyFill="1" applyBorder="1" applyProtection="1">
      <alignment/>
      <protection hidden="1"/>
    </xf>
    <xf numFmtId="0" fontId="0" fillId="24" borderId="0" xfId="85" applyFont="1" applyFill="1" applyProtection="1">
      <alignment/>
      <protection/>
    </xf>
    <xf numFmtId="0" fontId="0" fillId="27" borderId="0" xfId="85" applyFont="1" applyFill="1" applyBorder="1">
      <alignment/>
      <protection/>
    </xf>
    <xf numFmtId="0" fontId="0" fillId="27" borderId="0" xfId="0" applyFont="1" applyFill="1" applyAlignment="1">
      <alignment/>
    </xf>
    <xf numFmtId="0" fontId="68" fillId="24" borderId="30" xfId="77" applyFont="1" applyFill="1" applyBorder="1" applyAlignment="1">
      <alignment horizontal="center" vertical="center" wrapText="1"/>
      <protection/>
    </xf>
    <xf numFmtId="0" fontId="68" fillId="24" borderId="31" xfId="77" applyFont="1" applyFill="1" applyBorder="1" applyAlignment="1">
      <alignment horizontal="center" vertical="center" wrapText="1"/>
      <protection/>
    </xf>
    <xf numFmtId="0" fontId="68" fillId="24" borderId="32" xfId="77" applyFont="1" applyFill="1" applyBorder="1" applyAlignment="1" quotePrefix="1">
      <alignment horizontal="center"/>
      <protection/>
    </xf>
    <xf numFmtId="0" fontId="68" fillId="24" borderId="33" xfId="77" applyFont="1" applyFill="1" applyBorder="1" applyAlignment="1" quotePrefix="1">
      <alignment horizontal="center"/>
      <protection/>
    </xf>
    <xf numFmtId="0" fontId="68" fillId="24" borderId="34" xfId="78" applyFont="1" applyFill="1" applyBorder="1">
      <alignment/>
      <protection/>
    </xf>
    <xf numFmtId="0" fontId="68" fillId="24" borderId="25" xfId="78" applyFont="1" applyFill="1" applyBorder="1">
      <alignment/>
      <protection/>
    </xf>
    <xf numFmtId="0" fontId="68" fillId="24" borderId="30" xfId="78" applyFont="1" applyFill="1" applyBorder="1" applyAlignment="1">
      <alignment/>
      <protection/>
    </xf>
    <xf numFmtId="0" fontId="3" fillId="0" borderId="0" xfId="85" applyFont="1" applyProtection="1">
      <alignment/>
      <protection/>
    </xf>
    <xf numFmtId="0" fontId="96" fillId="28" borderId="0" xfId="88" applyFont="1" applyFill="1" applyBorder="1" applyAlignment="1" applyProtection="1">
      <alignment horizontal="right"/>
      <protection hidden="1"/>
    </xf>
    <xf numFmtId="0" fontId="36" fillId="24" borderId="0" xfId="84" applyFont="1" applyFill="1">
      <alignment/>
      <protection/>
    </xf>
    <xf numFmtId="0" fontId="63" fillId="24" borderId="13" xfId="85" applyFont="1" applyFill="1" applyBorder="1" applyAlignment="1" applyProtection="1">
      <alignment horizontal="center" vertical="center" wrapText="1"/>
      <protection hidden="1"/>
    </xf>
    <xf numFmtId="0" fontId="63" fillId="24" borderId="0" xfId="85" applyFont="1" applyFill="1" applyBorder="1" applyAlignment="1" applyProtection="1">
      <alignment horizontal="center" vertical="center" wrapText="1"/>
      <protection hidden="1"/>
    </xf>
    <xf numFmtId="0" fontId="0" fillId="0" borderId="0" xfId="0" applyFont="1" applyAlignment="1">
      <alignment/>
    </xf>
    <xf numFmtId="0" fontId="0" fillId="24" borderId="0" xfId="0" applyFont="1" applyFill="1" applyAlignment="1">
      <alignment/>
    </xf>
    <xf numFmtId="0" fontId="0" fillId="17" borderId="0" xfId="0" applyFont="1" applyFill="1" applyAlignment="1">
      <alignment/>
    </xf>
    <xf numFmtId="0" fontId="0" fillId="24" borderId="0" xfId="85" applyFont="1" applyFill="1" applyProtection="1">
      <alignment/>
      <protection hidden="1"/>
    </xf>
    <xf numFmtId="0" fontId="0" fillId="24" borderId="0" xfId="85" applyFont="1" applyFill="1" applyAlignment="1" applyProtection="1">
      <alignment horizontal="left"/>
      <protection hidden="1"/>
    </xf>
    <xf numFmtId="0" fontId="0" fillId="24" borderId="0" xfId="85" applyFont="1" applyFill="1" applyAlignment="1">
      <alignment horizontal="left"/>
      <protection/>
    </xf>
    <xf numFmtId="0" fontId="0" fillId="24" borderId="0" xfId="85" applyFont="1" applyFill="1">
      <alignment/>
      <protection/>
    </xf>
    <xf numFmtId="0" fontId="0" fillId="27" borderId="0" xfId="85" applyFont="1" applyFill="1" applyProtection="1">
      <alignment/>
      <protection hidden="1"/>
    </xf>
    <xf numFmtId="0" fontId="0" fillId="27" borderId="0" xfId="85" applyFont="1" applyFill="1">
      <alignment/>
      <protection/>
    </xf>
    <xf numFmtId="0" fontId="0" fillId="0" borderId="0" xfId="85" applyFont="1">
      <alignment/>
      <protection/>
    </xf>
    <xf numFmtId="0" fontId="18" fillId="27" borderId="0" xfId="0" applyFont="1" applyFill="1" applyAlignment="1" applyProtection="1">
      <alignment/>
      <protection hidden="1"/>
    </xf>
    <xf numFmtId="0" fontId="0" fillId="0" borderId="0" xfId="85" applyFont="1" applyAlignment="1" applyProtection="1">
      <alignment horizontal="center"/>
      <protection hidden="1"/>
    </xf>
    <xf numFmtId="0" fontId="18" fillId="27" borderId="0" xfId="85" applyFill="1" applyProtection="1">
      <alignment/>
      <protection hidden="1"/>
    </xf>
    <xf numFmtId="0" fontId="31" fillId="27" borderId="0" xfId="85" applyFont="1" applyFill="1" applyAlignment="1">
      <alignment horizontal="right"/>
      <protection/>
    </xf>
    <xf numFmtId="0" fontId="31" fillId="27" borderId="0" xfId="85" applyFont="1" applyFill="1" applyAlignment="1" applyProtection="1">
      <alignment horizontal="left"/>
      <protection hidden="1"/>
    </xf>
    <xf numFmtId="0" fontId="31" fillId="27" borderId="0" xfId="85" applyFont="1" applyFill="1" applyProtection="1">
      <alignment/>
      <protection hidden="1"/>
    </xf>
    <xf numFmtId="0" fontId="18" fillId="27" borderId="0" xfId="85" applyFill="1" applyAlignment="1" applyProtection="1">
      <alignment wrapText="1"/>
      <protection hidden="1"/>
    </xf>
    <xf numFmtId="0" fontId="69" fillId="27" borderId="0" xfId="65" applyFont="1" applyFill="1" applyAlignment="1" applyProtection="1">
      <alignment/>
      <protection hidden="1"/>
    </xf>
    <xf numFmtId="182" fontId="0" fillId="0" borderId="0" xfId="0" applyNumberFormat="1" applyFont="1" applyAlignment="1">
      <alignment/>
    </xf>
    <xf numFmtId="0" fontId="16" fillId="27" borderId="0" xfId="85" applyFont="1" applyFill="1" applyAlignment="1" applyProtection="1">
      <alignment horizontal="right"/>
      <protection hidden="1"/>
    </xf>
    <xf numFmtId="0" fontId="0" fillId="27" borderId="0" xfId="0" applyFont="1" applyFill="1" applyAlignment="1" applyProtection="1">
      <alignment/>
      <protection hidden="1"/>
    </xf>
    <xf numFmtId="9" fontId="0" fillId="27" borderId="0" xfId="100" applyFill="1">
      <alignment/>
      <protection/>
    </xf>
    <xf numFmtId="0" fontId="18" fillId="27" borderId="10" xfId="84" applyFont="1" applyFill="1" applyBorder="1" applyProtection="1">
      <alignment/>
      <protection hidden="1"/>
    </xf>
    <xf numFmtId="183" fontId="18" fillId="27" borderId="10" xfId="84" applyNumberFormat="1" applyFont="1" applyFill="1" applyBorder="1" applyProtection="1">
      <alignment/>
      <protection hidden="1"/>
    </xf>
    <xf numFmtId="0" fontId="40" fillId="24" borderId="0" xfId="85" applyFont="1" applyFill="1" applyBorder="1" applyProtection="1">
      <alignment/>
      <protection hidden="1"/>
    </xf>
    <xf numFmtId="0" fontId="18" fillId="19" borderId="0" xfId="85" applyFont="1" applyFill="1">
      <alignment/>
      <protection/>
    </xf>
    <xf numFmtId="0" fontId="32" fillId="24" borderId="0" xfId="84" applyFont="1" applyFill="1" applyAlignment="1">
      <alignment horizontal="left"/>
      <protection/>
    </xf>
    <xf numFmtId="0" fontId="31" fillId="27" borderId="0" xfId="85" applyFont="1" applyFill="1" applyBorder="1" applyAlignment="1" applyProtection="1">
      <alignment horizontal="left"/>
      <protection hidden="1"/>
    </xf>
    <xf numFmtId="0" fontId="31" fillId="24" borderId="18" xfId="0" applyFont="1" applyFill="1" applyBorder="1" applyAlignment="1" applyProtection="1">
      <alignment horizontal="center"/>
      <protection hidden="1"/>
    </xf>
    <xf numFmtId="0" fontId="31" fillId="0" borderId="15" xfId="0" applyFont="1" applyBorder="1" applyAlignment="1" applyProtection="1">
      <alignment horizontal="center"/>
      <protection hidden="1"/>
    </xf>
    <xf numFmtId="0" fontId="18" fillId="27" borderId="0" xfId="85" applyFill="1" applyAlignment="1" applyProtection="1">
      <alignment horizontal="left" wrapText="1"/>
      <protection hidden="1"/>
    </xf>
    <xf numFmtId="0" fontId="32" fillId="27" borderId="0" xfId="85" applyFont="1" applyFill="1">
      <alignment/>
      <protection/>
    </xf>
    <xf numFmtId="0" fontId="0" fillId="24" borderId="0" xfId="85" applyFont="1" applyFill="1" applyAlignment="1">
      <alignment/>
      <protection/>
    </xf>
    <xf numFmtId="0" fontId="18" fillId="24" borderId="0" xfId="85" applyFill="1" applyAlignment="1" applyProtection="1">
      <alignment/>
      <protection hidden="1"/>
    </xf>
    <xf numFmtId="0" fontId="0" fillId="24" borderId="0" xfId="85" applyFont="1" applyFill="1" applyAlignment="1" applyProtection="1">
      <alignment/>
      <protection hidden="1"/>
    </xf>
    <xf numFmtId="0" fontId="0" fillId="27" borderId="0" xfId="85" applyFont="1" applyFill="1" applyAlignment="1">
      <alignment/>
      <protection/>
    </xf>
    <xf numFmtId="0" fontId="0" fillId="27" borderId="0" xfId="0" applyFont="1" applyFill="1" applyAlignment="1">
      <alignment/>
    </xf>
    <xf numFmtId="0" fontId="0" fillId="27" borderId="0" xfId="85" applyFont="1" applyFill="1" applyAlignment="1" applyProtection="1">
      <alignment/>
      <protection hidden="1"/>
    </xf>
    <xf numFmtId="0" fontId="29" fillId="27" borderId="0" xfId="65" applyFill="1" applyAlignment="1" applyProtection="1">
      <alignment/>
      <protection hidden="1"/>
    </xf>
    <xf numFmtId="0" fontId="18" fillId="24" borderId="12" xfId="85" applyFill="1" applyBorder="1">
      <alignment/>
      <protection/>
    </xf>
    <xf numFmtId="0" fontId="18" fillId="24" borderId="14" xfId="85" applyFill="1" applyBorder="1">
      <alignment/>
      <protection/>
    </xf>
    <xf numFmtId="0" fontId="18" fillId="22" borderId="20" xfId="85" applyFill="1" applyBorder="1" applyAlignment="1" applyProtection="1">
      <alignment horizontal="center"/>
      <protection locked="0"/>
    </xf>
    <xf numFmtId="0" fontId="31" fillId="27" borderId="0" xfId="85" applyFont="1" applyFill="1" applyAlignment="1">
      <alignment vertical="center" wrapText="1"/>
      <protection/>
    </xf>
    <xf numFmtId="0" fontId="31" fillId="27" borderId="0" xfId="85" applyFont="1" applyFill="1" applyAlignment="1" applyProtection="1">
      <alignment horizontal="right"/>
      <protection hidden="1"/>
    </xf>
    <xf numFmtId="0" fontId="18" fillId="27" borderId="0" xfId="85" applyFont="1" applyFill="1" applyAlignment="1" applyProtection="1">
      <alignment/>
      <protection hidden="1"/>
    </xf>
    <xf numFmtId="0" fontId="18" fillId="27" borderId="0" xfId="85" applyFont="1" applyFill="1">
      <alignment/>
      <protection/>
    </xf>
    <xf numFmtId="0" fontId="18" fillId="27" borderId="11" xfId="0" applyFont="1" applyFill="1" applyBorder="1" applyAlignment="1">
      <alignment/>
    </xf>
    <xf numFmtId="0" fontId="0" fillId="24" borderId="0" xfId="85" applyFont="1" applyFill="1" applyBorder="1" applyProtection="1">
      <alignment/>
      <protection hidden="1"/>
    </xf>
    <xf numFmtId="0" fontId="31" fillId="27" borderId="0" xfId="85" applyFont="1" applyFill="1" applyBorder="1" applyProtection="1">
      <alignment/>
      <protection hidden="1"/>
    </xf>
    <xf numFmtId="0" fontId="0" fillId="27" borderId="0" xfId="85" applyFont="1" applyFill="1" applyBorder="1">
      <alignment/>
      <protection/>
    </xf>
    <xf numFmtId="0" fontId="18" fillId="27" borderId="0" xfId="85" applyFill="1" applyBorder="1" applyAlignment="1" applyProtection="1">
      <alignment vertical="top" wrapText="1"/>
      <protection hidden="1"/>
    </xf>
    <xf numFmtId="182" fontId="83" fillId="27" borderId="0" xfId="0" applyNumberFormat="1" applyFont="1" applyFill="1" applyBorder="1" applyAlignment="1" applyProtection="1">
      <alignment/>
      <protection hidden="1"/>
    </xf>
    <xf numFmtId="0" fontId="96" fillId="28" borderId="0" xfId="88" applyFont="1" applyFill="1" applyBorder="1" applyAlignment="1" applyProtection="1">
      <alignment horizontal="left"/>
      <protection hidden="1"/>
    </xf>
    <xf numFmtId="0" fontId="0" fillId="27" borderId="0" xfId="93" applyFont="1" applyFill="1" applyBorder="1">
      <alignment/>
      <protection/>
    </xf>
    <xf numFmtId="0" fontId="0" fillId="28" borderId="0" xfId="93" applyFont="1" applyFill="1" applyAlignment="1" applyProtection="1">
      <alignment/>
      <protection hidden="1"/>
    </xf>
    <xf numFmtId="0" fontId="0" fillId="0" borderId="0" xfId="93" applyFont="1">
      <alignment/>
      <protection/>
    </xf>
    <xf numFmtId="0" fontId="106" fillId="27" borderId="0" xfId="93" applyFont="1" applyFill="1" applyBorder="1" applyAlignment="1">
      <alignment horizontal="center" vertical="center" textRotation="90"/>
      <protection/>
    </xf>
    <xf numFmtId="0" fontId="2" fillId="28" borderId="35" xfId="93" applyFont="1" applyFill="1" applyBorder="1" applyAlignment="1" applyProtection="1">
      <alignment/>
      <protection hidden="1"/>
    </xf>
    <xf numFmtId="0" fontId="29" fillId="28" borderId="35" xfId="65" applyFont="1" applyFill="1" applyBorder="1" applyAlignment="1" applyProtection="1">
      <alignment/>
      <protection hidden="1"/>
    </xf>
    <xf numFmtId="0" fontId="29" fillId="27" borderId="35" xfId="65" applyFont="1" applyFill="1" applyBorder="1" applyAlignment="1" applyProtection="1">
      <alignment/>
      <protection hidden="1"/>
    </xf>
    <xf numFmtId="0" fontId="29" fillId="27" borderId="35" xfId="65" applyFill="1" applyBorder="1" applyAlignment="1" applyProtection="1">
      <alignment/>
      <protection hidden="1"/>
    </xf>
    <xf numFmtId="0" fontId="0" fillId="28" borderId="35" xfId="93" applyFont="1" applyFill="1" applyBorder="1" applyAlignment="1" applyProtection="1">
      <alignment/>
      <protection hidden="1"/>
    </xf>
    <xf numFmtId="0" fontId="2" fillId="28" borderId="35" xfId="93" applyFont="1" applyFill="1" applyBorder="1" applyAlignment="1" applyProtection="1">
      <alignment wrapText="1"/>
      <protection hidden="1"/>
    </xf>
    <xf numFmtId="0" fontId="16" fillId="28" borderId="0" xfId="85" applyFont="1" applyFill="1" applyBorder="1" applyAlignment="1" applyProtection="1">
      <alignment horizontal="right"/>
      <protection hidden="1"/>
    </xf>
    <xf numFmtId="0" fontId="105" fillId="27" borderId="0" xfId="93" applyFont="1" applyFill="1" applyBorder="1" applyAlignment="1">
      <alignment horizontal="right" vertical="center" textRotation="90"/>
      <protection/>
    </xf>
    <xf numFmtId="0" fontId="0" fillId="0" borderId="13" xfId="93" applyFont="1" applyBorder="1">
      <alignment/>
      <protection/>
    </xf>
    <xf numFmtId="0" fontId="0" fillId="0" borderId="0" xfId="93" applyFont="1" applyBorder="1">
      <alignment/>
      <protection/>
    </xf>
    <xf numFmtId="0" fontId="29" fillId="28" borderId="35" xfId="65" applyFont="1" applyFill="1" applyBorder="1" applyAlignment="1" applyProtection="1">
      <alignment horizontal="left"/>
      <protection hidden="1"/>
    </xf>
    <xf numFmtId="0" fontId="0" fillId="27" borderId="0" xfId="93" applyFont="1" applyFill="1">
      <alignment/>
      <protection/>
    </xf>
    <xf numFmtId="0" fontId="104" fillId="27" borderId="0" xfId="0" applyFont="1" applyFill="1" applyBorder="1" applyAlignment="1" applyProtection="1">
      <alignment horizontal="left" wrapText="1"/>
      <protection hidden="1"/>
    </xf>
    <xf numFmtId="0" fontId="104" fillId="24" borderId="0" xfId="0" applyFont="1" applyFill="1" applyBorder="1" applyAlignment="1" applyProtection="1">
      <alignment horizontal="left" wrapText="1"/>
      <protection hidden="1"/>
    </xf>
    <xf numFmtId="0" fontId="0" fillId="27" borderId="13" xfId="93" applyFont="1" applyFill="1" applyBorder="1">
      <alignment/>
      <protection/>
    </xf>
    <xf numFmtId="0" fontId="106" fillId="27" borderId="0" xfId="93" applyFont="1" applyFill="1" applyBorder="1" applyAlignment="1">
      <alignment horizontal="center" textRotation="90"/>
      <protection/>
    </xf>
    <xf numFmtId="0" fontId="2" fillId="0" borderId="0" xfId="93" applyFont="1" applyBorder="1" applyAlignment="1">
      <alignment/>
      <protection/>
    </xf>
    <xf numFmtId="182" fontId="18" fillId="29" borderId="36" xfId="85" applyNumberFormat="1" applyFont="1" applyFill="1" applyBorder="1" applyAlignment="1" applyProtection="1">
      <alignment horizontal="center"/>
      <protection hidden="1"/>
    </xf>
    <xf numFmtId="182" fontId="18" fillId="29" borderId="37" xfId="85" applyNumberFormat="1" applyFont="1" applyFill="1" applyBorder="1" applyAlignment="1" applyProtection="1">
      <alignment horizontal="center" wrapText="1"/>
      <protection hidden="1"/>
    </xf>
    <xf numFmtId="0" fontId="3" fillId="11" borderId="23" xfId="0" applyFont="1" applyFill="1" applyBorder="1" applyAlignment="1" quotePrefix="1">
      <alignment horizontal="center" wrapText="1"/>
    </xf>
    <xf numFmtId="0" fontId="18" fillId="24" borderId="10" xfId="85" applyFont="1" applyFill="1" applyBorder="1" applyAlignment="1" applyProtection="1">
      <alignment horizontal="center" wrapText="1"/>
      <protection hidden="1"/>
    </xf>
    <xf numFmtId="0" fontId="3" fillId="24" borderId="0" xfId="0" applyFont="1" applyFill="1" applyAlignment="1">
      <alignment/>
    </xf>
    <xf numFmtId="0" fontId="3" fillId="24" borderId="0" xfId="85" applyFont="1" applyFill="1" applyProtection="1">
      <alignment/>
      <protection hidden="1"/>
    </xf>
    <xf numFmtId="0" fontId="3" fillId="24" borderId="0" xfId="0" applyFont="1" applyFill="1" applyAlignment="1">
      <alignment/>
    </xf>
    <xf numFmtId="0" fontId="3" fillId="24" borderId="12" xfId="76" applyFont="1" applyFill="1" applyBorder="1" applyAlignment="1" applyProtection="1">
      <alignment horizontal="center"/>
      <protection hidden="1"/>
    </xf>
    <xf numFmtId="0" fontId="3" fillId="24" borderId="14" xfId="85" applyFont="1" applyFill="1" applyBorder="1" applyAlignment="1" applyProtection="1">
      <alignment horizontal="center"/>
      <protection hidden="1"/>
    </xf>
    <xf numFmtId="0" fontId="3" fillId="24" borderId="20" xfId="85" applyFont="1" applyFill="1" applyBorder="1" applyAlignment="1" applyProtection="1">
      <alignment horizontal="center"/>
      <protection hidden="1"/>
    </xf>
    <xf numFmtId="0" fontId="3" fillId="24" borderId="21" xfId="85" applyFont="1" applyFill="1" applyBorder="1" applyAlignment="1" applyProtection="1">
      <alignment horizontal="center"/>
      <protection hidden="1"/>
    </xf>
    <xf numFmtId="1" fontId="3" fillId="0" borderId="20" xfId="75" applyNumberFormat="1" applyFont="1" applyBorder="1" applyAlignment="1" applyProtection="1">
      <alignment horizontal="center"/>
      <protection hidden="1"/>
    </xf>
    <xf numFmtId="1" fontId="3" fillId="24" borderId="20" xfId="85" applyNumberFormat="1" applyFont="1" applyFill="1" applyBorder="1" applyAlignment="1" applyProtection="1">
      <alignment horizontal="center"/>
      <protection hidden="1"/>
    </xf>
    <xf numFmtId="182" fontId="21" fillId="24" borderId="24" xfId="85" applyNumberFormat="1" applyFont="1" applyFill="1" applyBorder="1" applyAlignment="1" applyProtection="1">
      <alignment horizontal="center"/>
      <protection hidden="1"/>
    </xf>
    <xf numFmtId="0" fontId="3" fillId="24" borderId="15" xfId="85" applyFont="1" applyFill="1" applyBorder="1" applyAlignment="1" applyProtection="1">
      <alignment horizontal="center"/>
      <protection hidden="1"/>
    </xf>
    <xf numFmtId="0" fontId="3" fillId="24" borderId="20" xfId="85" applyFont="1" applyFill="1" applyBorder="1" applyAlignment="1" applyProtection="1">
      <alignment horizontal="center" vertical="top"/>
      <protection hidden="1"/>
    </xf>
    <xf numFmtId="0" fontId="75" fillId="24" borderId="15" xfId="85" applyFont="1" applyFill="1" applyBorder="1" applyAlignment="1" applyProtection="1">
      <alignment horizontal="center"/>
      <protection hidden="1"/>
    </xf>
    <xf numFmtId="0" fontId="75" fillId="24" borderId="20" xfId="85" applyFont="1" applyFill="1" applyBorder="1" applyAlignment="1" applyProtection="1">
      <alignment horizontal="center" vertical="top"/>
      <protection hidden="1"/>
    </xf>
    <xf numFmtId="0" fontId="36" fillId="27" borderId="0" xfId="85" applyFont="1" applyFill="1" applyProtection="1">
      <alignment/>
      <protection hidden="1"/>
    </xf>
    <xf numFmtId="0" fontId="18" fillId="0" borderId="10" xfId="0" applyFont="1" applyBorder="1" applyAlignment="1" applyProtection="1">
      <alignment horizontal="center"/>
      <protection hidden="1"/>
    </xf>
    <xf numFmtId="180" fontId="31" fillId="27" borderId="0" xfId="56" applyFont="1" applyFill="1" applyAlignment="1">
      <alignment/>
      <protection/>
    </xf>
    <xf numFmtId="0" fontId="30" fillId="27" borderId="0" xfId="85" applyFont="1" applyFill="1" applyProtection="1">
      <alignment/>
      <protection hidden="1"/>
    </xf>
    <xf numFmtId="0" fontId="20" fillId="27" borderId="0" xfId="85" applyFont="1" applyFill="1" applyProtection="1">
      <alignment/>
      <protection hidden="1"/>
    </xf>
    <xf numFmtId="0" fontId="26" fillId="27" borderId="0" xfId="85" applyFont="1" applyFill="1" applyAlignment="1">
      <alignment wrapText="1"/>
      <protection/>
    </xf>
    <xf numFmtId="0" fontId="27" fillId="27" borderId="0" xfId="85" applyFont="1" applyFill="1">
      <alignment/>
      <protection/>
    </xf>
    <xf numFmtId="0" fontId="27" fillId="27" borderId="0" xfId="85" applyFont="1" applyFill="1" applyBorder="1" applyAlignment="1" applyProtection="1">
      <alignment horizontal="left" vertical="center" wrapText="1"/>
      <protection hidden="1"/>
    </xf>
    <xf numFmtId="0" fontId="20" fillId="27" borderId="0" xfId="85" applyFont="1" applyFill="1">
      <alignment/>
      <protection/>
    </xf>
    <xf numFmtId="0" fontId="96" fillId="0" borderId="10" xfId="0" applyFont="1" applyBorder="1" applyAlignment="1" applyProtection="1">
      <alignment horizontal="center"/>
      <protection hidden="1"/>
    </xf>
    <xf numFmtId="182" fontId="18" fillId="0" borderId="10" xfId="0" applyNumberFormat="1" applyFont="1" applyBorder="1" applyAlignment="1" applyProtection="1">
      <alignment horizontal="center"/>
      <protection hidden="1"/>
    </xf>
    <xf numFmtId="182" fontId="96" fillId="0" borderId="10" xfId="0" applyNumberFormat="1" applyFont="1" applyBorder="1" applyAlignment="1" applyProtection="1">
      <alignment horizontal="center"/>
      <protection hidden="1"/>
    </xf>
    <xf numFmtId="0" fontId="0" fillId="27" borderId="0" xfId="85" applyFont="1" applyFill="1" applyBorder="1" applyProtection="1">
      <alignment/>
      <protection hidden="1"/>
    </xf>
    <xf numFmtId="0" fontId="23" fillId="10" borderId="23" xfId="0" applyFont="1" applyFill="1" applyBorder="1" applyAlignment="1" quotePrefix="1">
      <alignment horizontal="center" wrapText="1"/>
    </xf>
    <xf numFmtId="0" fontId="18" fillId="27" borderId="10" xfId="85" applyFill="1" applyBorder="1" applyAlignment="1" applyProtection="1">
      <alignment horizontal="center"/>
      <protection hidden="1"/>
    </xf>
    <xf numFmtId="0" fontId="34" fillId="27" borderId="0" xfId="85" applyFont="1" applyFill="1" applyAlignment="1" applyProtection="1">
      <alignment wrapText="1"/>
      <protection hidden="1"/>
    </xf>
    <xf numFmtId="0" fontId="30" fillId="27" borderId="0" xfId="85" applyFont="1" applyFill="1" applyAlignment="1" applyProtection="1">
      <alignment wrapText="1"/>
      <protection hidden="1"/>
    </xf>
    <xf numFmtId="1" fontId="21" fillId="0" borderId="24" xfId="85" applyNumberFormat="1" applyFont="1" applyBorder="1" applyAlignment="1" applyProtection="1">
      <alignment horizontal="center"/>
      <protection hidden="1"/>
    </xf>
    <xf numFmtId="2" fontId="21" fillId="0" borderId="24" xfId="85" applyNumberFormat="1" applyFont="1" applyBorder="1" applyAlignment="1" applyProtection="1">
      <alignment horizontal="center"/>
      <protection hidden="1"/>
    </xf>
    <xf numFmtId="186" fontId="21" fillId="0" borderId="24" xfId="85" applyNumberFormat="1" applyFont="1" applyBorder="1" applyAlignment="1" applyProtection="1">
      <alignment horizontal="center"/>
      <protection hidden="1"/>
    </xf>
    <xf numFmtId="0" fontId="21" fillId="20" borderId="24" xfId="85" applyFont="1" applyFill="1" applyBorder="1" applyAlignment="1" applyProtection="1">
      <alignment/>
      <protection hidden="1"/>
    </xf>
    <xf numFmtId="1" fontId="3" fillId="30" borderId="24" xfId="85" applyNumberFormat="1" applyFont="1" applyFill="1" applyBorder="1" applyAlignment="1" applyProtection="1">
      <alignment/>
      <protection hidden="1"/>
    </xf>
    <xf numFmtId="0" fontId="3" fillId="30" borderId="24" xfId="85" applyFont="1" applyFill="1" applyBorder="1" applyAlignment="1" applyProtection="1">
      <alignment/>
      <protection hidden="1"/>
    </xf>
    <xf numFmtId="0" fontId="21" fillId="0" borderId="31" xfId="85" applyFont="1" applyBorder="1" applyAlignment="1" applyProtection="1">
      <alignment horizontal="center"/>
      <protection hidden="1"/>
    </xf>
    <xf numFmtId="0" fontId="27" fillId="24" borderId="0" xfId="85" applyFont="1" applyFill="1" applyAlignment="1" applyProtection="1">
      <alignment horizontal="left" vertical="top" wrapText="1"/>
      <protection hidden="1"/>
    </xf>
    <xf numFmtId="0" fontId="18" fillId="0" borderId="10" xfId="87" applyFont="1" applyFill="1" applyBorder="1" applyAlignment="1">
      <alignment horizontal="center"/>
      <protection/>
    </xf>
    <xf numFmtId="0" fontId="30" fillId="0" borderId="10" xfId="87" applyFont="1" applyFill="1" applyBorder="1" applyAlignment="1">
      <alignment horizontal="center"/>
      <protection/>
    </xf>
    <xf numFmtId="0" fontId="18" fillId="0" borderId="10" xfId="85" applyFont="1" applyFill="1" applyBorder="1" applyAlignment="1">
      <alignment horizontal="center"/>
      <protection/>
    </xf>
    <xf numFmtId="0" fontId="18" fillId="0" borderId="38" xfId="87" applyFont="1" applyFill="1" applyBorder="1" applyAlignment="1">
      <alignment horizontal="center"/>
      <protection/>
    </xf>
    <xf numFmtId="0" fontId="30" fillId="0" borderId="38" xfId="86" applyFont="1" applyFill="1" applyBorder="1" applyAlignment="1">
      <alignment horizontal="center"/>
      <protection/>
    </xf>
    <xf numFmtId="0" fontId="18" fillId="0" borderId="15" xfId="85" applyFont="1" applyFill="1" applyBorder="1" applyAlignment="1">
      <alignment horizontal="center"/>
      <protection/>
    </xf>
    <xf numFmtId="0" fontId="0" fillId="27" borderId="0" xfId="85" applyFont="1" applyFill="1" applyAlignment="1">
      <alignment/>
      <protection/>
    </xf>
    <xf numFmtId="0" fontId="112" fillId="27" borderId="0" xfId="88" applyFont="1" applyFill="1" applyBorder="1" applyAlignment="1" applyProtection="1">
      <alignment horizontal="left"/>
      <protection hidden="1"/>
    </xf>
    <xf numFmtId="182" fontId="96" fillId="0" borderId="37" xfId="88" applyNumberFormat="1" applyFont="1" applyFill="1" applyBorder="1" applyAlignment="1" applyProtection="1">
      <alignment horizontal="center"/>
      <protection hidden="1"/>
    </xf>
    <xf numFmtId="182" fontId="18" fillId="0" borderId="10" xfId="85" applyNumberFormat="1" applyFont="1" applyFill="1" applyBorder="1" applyAlignment="1">
      <alignment horizontal="center"/>
      <protection/>
    </xf>
    <xf numFmtId="0" fontId="18" fillId="27" borderId="0" xfId="85" applyFont="1" applyFill="1" applyAlignment="1">
      <alignment horizontal="center"/>
      <protection/>
    </xf>
    <xf numFmtId="182" fontId="18" fillId="0" borderId="10" xfId="85" applyNumberFormat="1" applyFont="1" applyFill="1" applyBorder="1" applyAlignment="1" applyProtection="1">
      <alignment horizontal="center"/>
      <protection hidden="1"/>
    </xf>
    <xf numFmtId="0" fontId="0" fillId="27" borderId="0" xfId="85" applyFont="1" applyFill="1">
      <alignment/>
      <protection/>
    </xf>
    <xf numFmtId="182" fontId="18" fillId="0" borderId="39" xfId="86" applyNumberFormat="1" applyFill="1" applyBorder="1" applyAlignment="1" applyProtection="1">
      <alignment horizontal="center"/>
      <protection hidden="1"/>
    </xf>
    <xf numFmtId="0" fontId="0" fillId="27" borderId="0" xfId="85" applyFont="1" applyFill="1" applyBorder="1">
      <alignment/>
      <protection/>
    </xf>
    <xf numFmtId="0" fontId="18" fillId="27" borderId="19" xfId="85" applyFont="1" applyFill="1" applyBorder="1" applyAlignment="1">
      <alignment horizontal="center"/>
      <protection/>
    </xf>
    <xf numFmtId="183" fontId="113" fillId="0" borderId="0" xfId="0" applyNumberFormat="1" applyFont="1" applyFill="1" applyBorder="1" applyAlignment="1" applyProtection="1">
      <alignment/>
      <protection/>
    </xf>
    <xf numFmtId="0" fontId="113" fillId="0" borderId="0" xfId="0" applyNumberFormat="1" applyFont="1" applyFill="1" applyBorder="1" applyAlignment="1" applyProtection="1">
      <alignment/>
      <protection/>
    </xf>
    <xf numFmtId="183" fontId="114" fillId="27" borderId="10" xfId="85" applyNumberFormat="1" applyFont="1" applyFill="1" applyBorder="1" applyAlignment="1" applyProtection="1">
      <alignment horizontal="center"/>
      <protection hidden="1"/>
    </xf>
    <xf numFmtId="0" fontId="31" fillId="27" borderId="0" xfId="85" applyFont="1" applyFill="1" applyBorder="1" applyAlignment="1">
      <alignment horizontal="right"/>
      <protection/>
    </xf>
    <xf numFmtId="0" fontId="18" fillId="0" borderId="40" xfId="87" applyFont="1" applyFill="1" applyBorder="1" applyAlignment="1">
      <alignment horizontal="center"/>
      <protection/>
    </xf>
    <xf numFmtId="0" fontId="18" fillId="0" borderId="37" xfId="87" applyFont="1" applyFill="1" applyBorder="1" applyAlignment="1">
      <alignment horizontal="center"/>
      <protection/>
    </xf>
    <xf numFmtId="0" fontId="30" fillId="0" borderId="41" xfId="87" applyFont="1" applyFill="1" applyBorder="1" applyAlignment="1">
      <alignment horizontal="center"/>
      <protection/>
    </xf>
    <xf numFmtId="0" fontId="30" fillId="0" borderId="15" xfId="86" applyFont="1" applyFill="1" applyBorder="1" applyAlignment="1">
      <alignment horizontal="center"/>
      <protection/>
    </xf>
    <xf numFmtId="0" fontId="18" fillId="27" borderId="0" xfId="85" applyFont="1" applyFill="1" applyBorder="1" applyAlignment="1" applyProtection="1">
      <alignment/>
      <protection hidden="1"/>
    </xf>
    <xf numFmtId="0" fontId="18" fillId="0" borderId="10" xfId="87" applyFont="1" applyFill="1" applyBorder="1" applyAlignment="1" applyProtection="1">
      <alignment horizontal="center"/>
      <protection hidden="1"/>
    </xf>
    <xf numFmtId="0" fontId="0" fillId="0" borderId="0" xfId="85" applyFont="1">
      <alignment/>
      <protection/>
    </xf>
    <xf numFmtId="182" fontId="18" fillId="0" borderId="11" xfId="85" applyNumberFormat="1" applyFont="1" applyFill="1" applyBorder="1" applyAlignment="1">
      <alignment horizontal="center"/>
      <protection/>
    </xf>
    <xf numFmtId="0" fontId="18" fillId="27" borderId="0" xfId="85" applyFont="1" applyFill="1" applyBorder="1" applyAlignment="1">
      <alignment/>
      <protection/>
    </xf>
    <xf numFmtId="0" fontId="18" fillId="27" borderId="0" xfId="85" applyFont="1" applyFill="1" applyBorder="1" applyAlignment="1" applyProtection="1">
      <alignment horizontal="left"/>
      <protection hidden="1"/>
    </xf>
    <xf numFmtId="0" fontId="18" fillId="27" borderId="0" xfId="85" applyFill="1" applyBorder="1">
      <alignment/>
      <protection/>
    </xf>
    <xf numFmtId="0" fontId="18" fillId="27" borderId="0" xfId="85" applyFont="1" applyFill="1" applyBorder="1" applyAlignment="1">
      <alignment horizontal="center"/>
      <protection/>
    </xf>
    <xf numFmtId="0" fontId="109" fillId="27" borderId="0" xfId="0" applyFont="1" applyFill="1" applyAlignment="1">
      <alignment horizontal="left" indent="2"/>
    </xf>
    <xf numFmtId="182" fontId="18" fillId="0" borderId="42" xfId="86" applyNumberFormat="1" applyFill="1" applyBorder="1" applyAlignment="1" applyProtection="1">
      <alignment horizontal="center"/>
      <protection hidden="1"/>
    </xf>
    <xf numFmtId="0" fontId="96" fillId="0" borderId="43" xfId="86" applyFont="1" applyFill="1" applyBorder="1" applyAlignment="1">
      <alignment horizontal="center"/>
      <protection/>
    </xf>
    <xf numFmtId="0" fontId="30" fillId="0" borderId="44" xfId="87" applyFont="1" applyFill="1" applyBorder="1" applyAlignment="1">
      <alignment horizontal="center"/>
      <protection/>
    </xf>
    <xf numFmtId="0" fontId="30" fillId="0" borderId="40" xfId="86" applyFont="1" applyFill="1" applyBorder="1" applyAlignment="1">
      <alignment horizontal="center"/>
      <protection/>
    </xf>
    <xf numFmtId="0" fontId="2" fillId="27" borderId="0" xfId="0" applyFont="1" applyFill="1" applyBorder="1" applyAlignment="1" applyProtection="1">
      <alignment/>
      <protection hidden="1"/>
    </xf>
    <xf numFmtId="0" fontId="19" fillId="0" borderId="0" xfId="65" applyFont="1" applyAlignment="1" applyProtection="1">
      <alignment/>
      <protection hidden="1"/>
    </xf>
    <xf numFmtId="182" fontId="18" fillId="24" borderId="20" xfId="85" applyNumberFormat="1" applyFill="1" applyBorder="1" applyAlignment="1" applyProtection="1">
      <alignment horizontal="center"/>
      <protection hidden="1"/>
    </xf>
    <xf numFmtId="0" fontId="18" fillId="24" borderId="20" xfId="0" applyFont="1" applyFill="1" applyBorder="1" applyAlignment="1" applyProtection="1">
      <alignment/>
      <protection hidden="1"/>
    </xf>
    <xf numFmtId="0" fontId="18" fillId="0" borderId="20" xfId="0" applyFont="1" applyBorder="1" applyAlignment="1" applyProtection="1">
      <alignment horizontal="center"/>
      <protection hidden="1"/>
    </xf>
    <xf numFmtId="182" fontId="67" fillId="20" borderId="12" xfId="0" applyNumberFormat="1" applyFont="1" applyFill="1" applyBorder="1" applyAlignment="1" applyProtection="1">
      <alignment/>
      <protection hidden="1"/>
    </xf>
    <xf numFmtId="182" fontId="67" fillId="20" borderId="18" xfId="0" applyNumberFormat="1" applyFont="1" applyFill="1" applyBorder="1" applyAlignment="1" applyProtection="1">
      <alignment/>
      <protection hidden="1"/>
    </xf>
    <xf numFmtId="0" fontId="18" fillId="24" borderId="13" xfId="82" applyFont="1" applyFill="1" applyBorder="1" applyProtection="1">
      <alignment/>
      <protection hidden="1"/>
    </xf>
    <xf numFmtId="2" fontId="31" fillId="27" borderId="0" xfId="85" applyNumberFormat="1" applyFont="1" applyFill="1" applyAlignment="1" applyProtection="1">
      <alignment horizontal="right" vertical="justify"/>
      <protection hidden="1"/>
    </xf>
    <xf numFmtId="0" fontId="10" fillId="28" borderId="0" xfId="0" applyFont="1" applyFill="1" applyBorder="1" applyAlignment="1" applyProtection="1">
      <alignment horizontal="right"/>
      <protection hidden="1"/>
    </xf>
    <xf numFmtId="0" fontId="0" fillId="27" borderId="0" xfId="93" applyFont="1" applyFill="1" applyBorder="1" applyAlignment="1" applyProtection="1">
      <alignment/>
      <protection hidden="1"/>
    </xf>
    <xf numFmtId="0" fontId="0" fillId="27" borderId="35" xfId="93" applyFont="1" applyFill="1" applyBorder="1" applyAlignment="1" applyProtection="1">
      <alignment/>
      <protection hidden="1"/>
    </xf>
    <xf numFmtId="0" fontId="0" fillId="27" borderId="0" xfId="93" applyFont="1" applyFill="1" applyProtection="1">
      <alignment/>
      <protection hidden="1"/>
    </xf>
    <xf numFmtId="0" fontId="27" fillId="24" borderId="0" xfId="85" applyFont="1" applyFill="1" applyAlignment="1" applyProtection="1">
      <alignment horizontal="right" vertical="center"/>
      <protection hidden="1"/>
    </xf>
    <xf numFmtId="0" fontId="17" fillId="27" borderId="0" xfId="68" applyFont="1" applyFill="1" applyAlignment="1" applyProtection="1">
      <alignment horizontal="left"/>
      <protection/>
    </xf>
    <xf numFmtId="0" fontId="10" fillId="27" borderId="0" xfId="85" applyFont="1" applyFill="1" applyAlignment="1" applyProtection="1">
      <alignment horizontal="right"/>
      <protection hidden="1"/>
    </xf>
    <xf numFmtId="0" fontId="10" fillId="28" borderId="0" xfId="0" applyFont="1" applyFill="1" applyBorder="1" applyAlignment="1" applyProtection="1">
      <alignment horizontal="left"/>
      <protection hidden="1"/>
    </xf>
    <xf numFmtId="0" fontId="21" fillId="27" borderId="0" xfId="85" applyFont="1" applyFill="1">
      <alignment/>
      <protection/>
    </xf>
    <xf numFmtId="0" fontId="17" fillId="27" borderId="0" xfId="67" applyFont="1" applyFill="1" applyAlignment="1" applyProtection="1">
      <alignment horizontal="left" vertical="top"/>
      <protection/>
    </xf>
    <xf numFmtId="0" fontId="15" fillId="27" borderId="0" xfId="85" applyFont="1" applyFill="1" applyAlignment="1">
      <alignment horizontal="right" vertical="top"/>
      <protection/>
    </xf>
    <xf numFmtId="0" fontId="37" fillId="27" borderId="0" xfId="67" applyFont="1" applyFill="1" applyAlignment="1" applyProtection="1">
      <alignment horizontal="left" vertical="top" wrapText="1"/>
      <protection hidden="1"/>
    </xf>
    <xf numFmtId="0" fontId="93" fillId="27" borderId="0" xfId="67" applyFont="1" applyFill="1" applyAlignment="1" applyProtection="1">
      <alignment horizontal="left" vertical="center"/>
      <protection/>
    </xf>
    <xf numFmtId="0" fontId="72" fillId="27" borderId="0" xfId="85" applyFont="1" applyFill="1" applyBorder="1" applyProtection="1">
      <alignment/>
      <protection hidden="1"/>
    </xf>
    <xf numFmtId="0" fontId="15" fillId="24" borderId="0" xfId="85" applyFont="1" applyFill="1" applyAlignment="1">
      <alignment vertical="center"/>
      <protection/>
    </xf>
    <xf numFmtId="0" fontId="20" fillId="27" borderId="0" xfId="93" applyFont="1" applyFill="1" applyBorder="1">
      <alignment/>
      <protection/>
    </xf>
    <xf numFmtId="0" fontId="20" fillId="27" borderId="0" xfId="93" applyFont="1" applyFill="1">
      <alignment/>
      <protection/>
    </xf>
    <xf numFmtId="0" fontId="0" fillId="27" borderId="0" xfId="83" applyFill="1" applyBorder="1">
      <alignment/>
      <protection/>
    </xf>
    <xf numFmtId="0" fontId="0" fillId="27" borderId="0" xfId="83" applyFill="1">
      <alignment/>
      <protection/>
    </xf>
    <xf numFmtId="0" fontId="68" fillId="27" borderId="25" xfId="85" applyFont="1" applyFill="1" applyBorder="1" applyAlignment="1">
      <alignment horizontal="left" vertical="top" wrapText="1"/>
      <protection/>
    </xf>
    <xf numFmtId="0" fontId="68" fillId="27" borderId="0" xfId="85" applyFont="1" applyFill="1" applyBorder="1" applyAlignment="1">
      <alignment horizontal="left" vertical="top" wrapText="1"/>
      <protection/>
    </xf>
    <xf numFmtId="0" fontId="21" fillId="25" borderId="0" xfId="85" applyFont="1" applyFill="1" applyBorder="1" applyAlignment="1" applyProtection="1">
      <alignment horizontal="center"/>
      <protection hidden="1"/>
    </xf>
    <xf numFmtId="0" fontId="68" fillId="27" borderId="33" xfId="85" applyFont="1" applyFill="1" applyBorder="1" applyAlignment="1">
      <alignment horizontal="left"/>
      <protection/>
    </xf>
    <xf numFmtId="0" fontId="68" fillId="27" borderId="31" xfId="85" applyFont="1" applyFill="1" applyBorder="1" applyAlignment="1">
      <alignment horizontal="left"/>
      <protection/>
    </xf>
    <xf numFmtId="0" fontId="25" fillId="24" borderId="0" xfId="85" applyFont="1" applyFill="1" applyProtection="1">
      <alignment/>
      <protection hidden="1"/>
    </xf>
    <xf numFmtId="0" fontId="118" fillId="0" borderId="0" xfId="0" applyFont="1" applyAlignment="1">
      <alignment/>
    </xf>
    <xf numFmtId="0" fontId="118" fillId="0" borderId="0" xfId="83" applyFont="1">
      <alignment/>
      <protection/>
    </xf>
    <xf numFmtId="0" fontId="21" fillId="0" borderId="0" xfId="85" applyFont="1" applyAlignment="1" applyProtection="1">
      <alignment horizontal="center"/>
      <protection hidden="1"/>
    </xf>
    <xf numFmtId="0" fontId="68" fillId="27" borderId="0" xfId="85" applyFont="1" applyFill="1" applyAlignment="1" applyProtection="1">
      <alignment horizontal="left"/>
      <protection hidden="1"/>
    </xf>
    <xf numFmtId="0" fontId="25" fillId="27" borderId="0" xfId="85" applyFont="1" applyFill="1" applyAlignment="1" applyProtection="1">
      <alignment horizontal="left"/>
      <protection hidden="1"/>
    </xf>
    <xf numFmtId="0" fontId="118" fillId="0" borderId="0" xfId="0" applyFont="1" applyAlignment="1" applyProtection="1">
      <alignment/>
      <protection hidden="1"/>
    </xf>
    <xf numFmtId="2" fontId="21" fillId="0" borderId="0" xfId="85" applyNumberFormat="1" applyFont="1" applyProtection="1">
      <alignment/>
      <protection hidden="1"/>
    </xf>
    <xf numFmtId="0" fontId="68" fillId="27" borderId="33" xfId="85" applyFont="1" applyFill="1" applyBorder="1" applyAlignment="1">
      <alignment horizontal="center"/>
      <protection/>
    </xf>
    <xf numFmtId="0" fontId="68" fillId="27" borderId="31" xfId="85" applyFont="1" applyFill="1" applyBorder="1" applyAlignment="1">
      <alignment horizontal="center"/>
      <protection/>
    </xf>
    <xf numFmtId="182" fontId="68" fillId="27" borderId="31" xfId="85" applyNumberFormat="1" applyFont="1" applyFill="1" applyBorder="1" applyAlignment="1" applyProtection="1">
      <alignment horizontal="center"/>
      <protection hidden="1"/>
    </xf>
    <xf numFmtId="0" fontId="68" fillId="27" borderId="31" xfId="85" applyFont="1" applyFill="1" applyBorder="1" applyAlignment="1" applyProtection="1">
      <alignment horizontal="center"/>
      <protection hidden="1"/>
    </xf>
    <xf numFmtId="2" fontId="75" fillId="0" borderId="0" xfId="85" applyNumberFormat="1" applyFont="1" applyProtection="1">
      <alignment/>
      <protection hidden="1"/>
    </xf>
    <xf numFmtId="0" fontId="21" fillId="27" borderId="0" xfId="85" applyFont="1" applyFill="1" applyBorder="1" applyAlignment="1" applyProtection="1">
      <alignment horizontal="center"/>
      <protection hidden="1"/>
    </xf>
    <xf numFmtId="183" fontId="19" fillId="24" borderId="0" xfId="65" applyNumberFormat="1" applyFont="1" applyFill="1" applyAlignment="1" applyProtection="1">
      <alignment/>
      <protection hidden="1"/>
    </xf>
    <xf numFmtId="0" fontId="19" fillId="24" borderId="0" xfId="65" applyFont="1" applyFill="1" applyAlignment="1" applyProtection="1">
      <alignment/>
      <protection hidden="1"/>
    </xf>
    <xf numFmtId="0" fontId="21" fillId="0" borderId="0" xfId="85" applyFont="1" applyAlignment="1" applyProtection="1">
      <alignment horizontal="center" wrapText="1"/>
      <protection hidden="1"/>
    </xf>
    <xf numFmtId="0" fontId="3" fillId="0" borderId="13" xfId="85" applyFont="1" applyBorder="1" applyProtection="1">
      <alignment/>
      <protection/>
    </xf>
    <xf numFmtId="0" fontId="13" fillId="24" borderId="0" xfId="0" applyFont="1" applyFill="1" applyAlignment="1">
      <alignment/>
    </xf>
    <xf numFmtId="0" fontId="14" fillId="0" borderId="13" xfId="85" applyFont="1" applyBorder="1" applyAlignment="1" applyProtection="1">
      <alignment horizontal="right"/>
      <protection/>
    </xf>
    <xf numFmtId="0" fontId="21" fillId="0" borderId="0" xfId="85" applyFont="1" applyAlignment="1" applyProtection="1">
      <alignment horizontal="right"/>
      <protection hidden="1"/>
    </xf>
    <xf numFmtId="2" fontId="19" fillId="24" borderId="0" xfId="65" applyNumberFormat="1" applyFont="1" applyFill="1" applyAlignment="1" applyProtection="1">
      <alignment/>
      <protection/>
    </xf>
    <xf numFmtId="2" fontId="3" fillId="24" borderId="10" xfId="85" applyNumberFormat="1" applyFont="1" applyFill="1" applyBorder="1" applyAlignment="1" applyProtection="1">
      <alignment horizontal="center"/>
      <protection hidden="1"/>
    </xf>
    <xf numFmtId="183" fontId="3" fillId="24" borderId="10" xfId="85" applyNumberFormat="1" applyFont="1" applyFill="1" applyBorder="1" applyAlignment="1" applyProtection="1">
      <alignment horizontal="center"/>
      <protection hidden="1"/>
    </xf>
    <xf numFmtId="0" fontId="3" fillId="27" borderId="0" xfId="85" applyFont="1" applyFill="1">
      <alignment/>
      <protection/>
    </xf>
    <xf numFmtId="0" fontId="3" fillId="27" borderId="0" xfId="0" applyFont="1" applyFill="1" applyAlignment="1">
      <alignment/>
    </xf>
    <xf numFmtId="0" fontId="3" fillId="27" borderId="0" xfId="0" applyFont="1" applyFill="1" applyAlignment="1">
      <alignment vertical="top" wrapText="1"/>
    </xf>
    <xf numFmtId="0" fontId="3" fillId="27" borderId="0" xfId="0" applyFont="1" applyFill="1" applyAlignment="1">
      <alignment vertical="top"/>
    </xf>
    <xf numFmtId="0" fontId="3" fillId="24" borderId="0" xfId="85" applyFont="1" applyFill="1" applyAlignment="1">
      <alignment vertical="top"/>
      <protection/>
    </xf>
    <xf numFmtId="0" fontId="13" fillId="27" borderId="0" xfId="85" applyFont="1" applyFill="1" applyAlignment="1" applyProtection="1">
      <alignment horizontal="left" vertical="center"/>
      <protection hidden="1"/>
    </xf>
    <xf numFmtId="0" fontId="69" fillId="0" borderId="0" xfId="85" applyFont="1" applyAlignment="1" applyProtection="1">
      <alignment horizontal="centerContinuous"/>
      <protection hidden="1"/>
    </xf>
    <xf numFmtId="0" fontId="69" fillId="0" borderId="0" xfId="85" applyFont="1" applyProtection="1">
      <alignment/>
      <protection hidden="1"/>
    </xf>
    <xf numFmtId="0" fontId="3" fillId="27" borderId="0" xfId="85" applyFont="1" applyFill="1" applyProtection="1">
      <alignment/>
      <protection hidden="1"/>
    </xf>
    <xf numFmtId="0" fontId="21" fillId="27" borderId="0" xfId="85" applyFont="1" applyFill="1" applyProtection="1">
      <alignment/>
      <protection hidden="1"/>
    </xf>
    <xf numFmtId="0" fontId="0" fillId="27" borderId="0" xfId="85" applyFont="1" applyFill="1" applyProtection="1">
      <alignment/>
      <protection hidden="1"/>
    </xf>
    <xf numFmtId="0" fontId="3" fillId="27" borderId="0" xfId="77" applyFont="1" applyFill="1" applyAlignment="1" applyProtection="1">
      <alignment horizontal="center" wrapText="1"/>
      <protection hidden="1"/>
    </xf>
    <xf numFmtId="0" fontId="3" fillId="27" borderId="0" xfId="77" applyFont="1" applyFill="1" applyAlignment="1" applyProtection="1">
      <alignment horizontal="center"/>
      <protection hidden="1"/>
    </xf>
    <xf numFmtId="0" fontId="24" fillId="27" borderId="0" xfId="77" applyFont="1" applyFill="1" applyAlignment="1" applyProtection="1">
      <alignment horizontal="left" wrapText="1"/>
      <protection hidden="1"/>
    </xf>
    <xf numFmtId="0" fontId="3" fillId="27" borderId="0" xfId="77" applyFont="1" applyFill="1" applyAlignment="1" applyProtection="1">
      <alignment horizontal="left" wrapText="1"/>
      <protection hidden="1"/>
    </xf>
    <xf numFmtId="182" fontId="108" fillId="27" borderId="1" xfId="85" applyNumberFormat="1" applyFont="1" applyFill="1" applyBorder="1" applyAlignment="1" applyProtection="1">
      <alignment horizontal="center"/>
      <protection hidden="1"/>
    </xf>
    <xf numFmtId="0" fontId="3" fillId="27" borderId="0" xfId="77" applyFont="1" applyFill="1" applyProtection="1">
      <alignment/>
      <protection hidden="1"/>
    </xf>
    <xf numFmtId="1" fontId="18" fillId="24" borderId="15" xfId="0" applyNumberFormat="1" applyFont="1" applyFill="1" applyBorder="1" applyAlignment="1" applyProtection="1">
      <alignment horizontal="center"/>
      <protection hidden="1"/>
    </xf>
    <xf numFmtId="1" fontId="18" fillId="24" borderId="23" xfId="0" applyNumberFormat="1" applyFont="1" applyFill="1" applyBorder="1" applyAlignment="1" applyProtection="1">
      <alignment horizontal="center"/>
      <protection hidden="1"/>
    </xf>
    <xf numFmtId="0" fontId="3" fillId="27" borderId="0" xfId="85" applyFont="1" applyFill="1" applyAlignment="1" applyProtection="1">
      <alignment horizontal="right"/>
      <protection hidden="1"/>
    </xf>
    <xf numFmtId="0" fontId="101" fillId="27" borderId="35" xfId="65" applyFont="1" applyFill="1" applyBorder="1" applyAlignment="1" applyProtection="1">
      <alignment/>
      <protection hidden="1"/>
    </xf>
    <xf numFmtId="0" fontId="101" fillId="28" borderId="35" xfId="65" applyFont="1" applyFill="1" applyBorder="1" applyAlignment="1" applyProtection="1">
      <alignment/>
      <protection hidden="1"/>
    </xf>
    <xf numFmtId="2" fontId="3" fillId="27" borderId="20" xfId="85" applyNumberFormat="1" applyFont="1" applyFill="1" applyBorder="1" applyAlignment="1" applyProtection="1">
      <alignment horizontal="center"/>
      <protection hidden="1"/>
    </xf>
    <xf numFmtId="0" fontId="3" fillId="27" borderId="20" xfId="85" applyFont="1" applyFill="1" applyBorder="1" applyAlignment="1" applyProtection="1">
      <alignment horizontal="center"/>
      <protection hidden="1"/>
    </xf>
    <xf numFmtId="0" fontId="13" fillId="0" borderId="10" xfId="0" applyFont="1" applyBorder="1" applyAlignment="1" applyProtection="1">
      <alignment horizontal="right"/>
      <protection hidden="1"/>
    </xf>
    <xf numFmtId="0" fontId="13" fillId="0" borderId="11" xfId="0" applyFont="1" applyBorder="1" applyAlignment="1" applyProtection="1">
      <alignment horizontal="right"/>
      <protection hidden="1"/>
    </xf>
    <xf numFmtId="0" fontId="3" fillId="24" borderId="0" xfId="0" applyFont="1" applyFill="1" applyAlignment="1" applyProtection="1">
      <alignment/>
      <protection hidden="1"/>
    </xf>
    <xf numFmtId="0" fontId="3" fillId="24" borderId="0" xfId="0" applyFont="1" applyFill="1" applyAlignment="1" applyProtection="1">
      <alignment wrapText="1"/>
      <protection hidden="1"/>
    </xf>
    <xf numFmtId="0" fontId="3" fillId="24" borderId="0" xfId="0" applyFont="1" applyFill="1" applyAlignment="1" applyProtection="1">
      <alignment horizontal="right" wrapText="1"/>
      <protection hidden="1"/>
    </xf>
    <xf numFmtId="0" fontId="3" fillId="24" borderId="0" xfId="0" applyFont="1" applyFill="1" applyAlignment="1" applyProtection="1">
      <alignment horizontal="right" wrapText="1"/>
      <protection hidden="1"/>
    </xf>
    <xf numFmtId="0" fontId="3" fillId="24" borderId="0" xfId="0" applyFont="1" applyFill="1" applyAlignment="1" applyProtection="1">
      <alignment horizontal="left"/>
      <protection hidden="1"/>
    </xf>
    <xf numFmtId="0" fontId="3" fillId="24" borderId="22" xfId="0" applyFont="1" applyFill="1" applyBorder="1" applyAlignment="1" applyProtection="1">
      <alignment/>
      <protection hidden="1"/>
    </xf>
    <xf numFmtId="0" fontId="74" fillId="24" borderId="22" xfId="85" applyFont="1" applyFill="1" applyBorder="1" applyAlignment="1" applyProtection="1">
      <alignment horizontal="left"/>
      <protection hidden="1"/>
    </xf>
    <xf numFmtId="0" fontId="41" fillId="27" borderId="0" xfId="85" applyFont="1" applyFill="1" applyAlignment="1">
      <alignment horizontal="right" vertical="center"/>
      <protection/>
    </xf>
    <xf numFmtId="0" fontId="15" fillId="24" borderId="0" xfId="85" applyFont="1" applyFill="1" applyAlignment="1">
      <alignment horizontal="right" vertical="top"/>
      <protection/>
    </xf>
    <xf numFmtId="183" fontId="3" fillId="0" borderId="10" xfId="85" applyNumberFormat="1" applyFont="1" applyBorder="1" applyAlignment="1" applyProtection="1">
      <alignment horizontal="center"/>
      <protection hidden="1"/>
    </xf>
    <xf numFmtId="0" fontId="3" fillId="22" borderId="23" xfId="85" applyFont="1" applyFill="1" applyBorder="1" applyProtection="1">
      <alignment/>
      <protection locked="0"/>
    </xf>
    <xf numFmtId="0" fontId="0" fillId="22" borderId="23" xfId="0" applyFont="1" applyFill="1" applyBorder="1" applyAlignment="1">
      <alignment/>
    </xf>
    <xf numFmtId="0" fontId="3" fillId="22" borderId="0" xfId="85" applyFont="1" applyFill="1" applyProtection="1">
      <alignment/>
      <protection locked="0"/>
    </xf>
    <xf numFmtId="0" fontId="3" fillId="22" borderId="24" xfId="85" applyFont="1" applyFill="1" applyBorder="1" applyAlignment="1" applyProtection="1">
      <alignment horizontal="right"/>
      <protection hidden="1"/>
    </xf>
    <xf numFmtId="0" fontId="13" fillId="24" borderId="20" xfId="85" applyFont="1" applyFill="1" applyBorder="1" applyAlignment="1" applyProtection="1">
      <alignment horizontal="center"/>
      <protection hidden="1"/>
    </xf>
    <xf numFmtId="0" fontId="75" fillId="24" borderId="20" xfId="85" applyFont="1" applyFill="1" applyBorder="1" applyAlignment="1" applyProtection="1">
      <alignment horizontal="center"/>
      <protection hidden="1"/>
    </xf>
    <xf numFmtId="0" fontId="12" fillId="22" borderId="0" xfId="83" applyFont="1" applyFill="1" applyBorder="1">
      <alignment/>
      <protection/>
    </xf>
    <xf numFmtId="1" fontId="108" fillId="22" borderId="33" xfId="85" applyNumberFormat="1" applyFont="1" applyFill="1" applyBorder="1" applyAlignment="1" applyProtection="1">
      <alignment horizontal="center"/>
      <protection locked="0"/>
    </xf>
    <xf numFmtId="1" fontId="108" fillId="22" borderId="32" xfId="85" applyNumberFormat="1" applyFont="1" applyFill="1" applyBorder="1" applyAlignment="1" applyProtection="1">
      <alignment horizontal="center"/>
      <protection locked="0"/>
    </xf>
    <xf numFmtId="182" fontId="96" fillId="0" borderId="10" xfId="0" applyNumberFormat="1" applyFont="1" applyBorder="1" applyAlignment="1" applyProtection="1">
      <alignment horizontal="center"/>
      <protection hidden="1"/>
    </xf>
    <xf numFmtId="2" fontId="18" fillId="27" borderId="0" xfId="0" applyNumberFormat="1" applyFont="1" applyFill="1" applyAlignment="1">
      <alignment wrapText="1"/>
    </xf>
    <xf numFmtId="0" fontId="0" fillId="27" borderId="0" xfId="85" applyFont="1" applyFill="1" applyBorder="1" applyAlignment="1">
      <alignment/>
      <protection/>
    </xf>
    <xf numFmtId="2" fontId="18" fillId="27" borderId="0" xfId="0" applyNumberFormat="1" applyFont="1" applyFill="1" applyBorder="1" applyAlignment="1">
      <alignment wrapText="1"/>
    </xf>
    <xf numFmtId="0" fontId="0" fillId="27" borderId="0" xfId="0" applyFont="1" applyFill="1" applyAlignment="1" applyProtection="1">
      <alignment/>
      <protection hidden="1"/>
    </xf>
    <xf numFmtId="0" fontId="18" fillId="27" borderId="13" xfId="85" applyFont="1" applyFill="1" applyBorder="1" applyAlignment="1">
      <alignment horizontal="right"/>
      <protection/>
    </xf>
    <xf numFmtId="0" fontId="18" fillId="27" borderId="0" xfId="0" applyFont="1" applyFill="1" applyAlignment="1">
      <alignment/>
    </xf>
    <xf numFmtId="0" fontId="18" fillId="27" borderId="0" xfId="85" applyFont="1" applyFill="1" applyAlignment="1">
      <alignment/>
      <protection/>
    </xf>
    <xf numFmtId="0" fontId="18" fillId="27" borderId="0" xfId="85" applyFont="1" applyFill="1" applyBorder="1">
      <alignment/>
      <protection/>
    </xf>
    <xf numFmtId="0" fontId="18" fillId="27" borderId="0" xfId="85" applyFont="1" applyFill="1">
      <alignment/>
      <protection/>
    </xf>
    <xf numFmtId="0" fontId="18" fillId="27" borderId="0" xfId="85" applyFont="1" applyFill="1" applyProtection="1">
      <alignment/>
      <protection hidden="1"/>
    </xf>
    <xf numFmtId="0" fontId="18" fillId="27" borderId="0" xfId="85" applyFont="1" applyFill="1" applyProtection="1">
      <alignment/>
      <protection hidden="1"/>
    </xf>
    <xf numFmtId="0" fontId="32" fillId="24" borderId="0" xfId="85" applyFont="1" applyFill="1" applyAlignment="1" applyProtection="1">
      <alignment horizontal="right"/>
      <protection hidden="1"/>
    </xf>
    <xf numFmtId="2" fontId="96" fillId="0" borderId="23" xfId="0" applyNumberFormat="1" applyFont="1" applyBorder="1" applyAlignment="1" applyProtection="1">
      <alignment horizontal="center"/>
      <protection hidden="1"/>
    </xf>
    <xf numFmtId="2" fontId="96" fillId="22" borderId="10" xfId="0" applyNumberFormat="1" applyFont="1" applyFill="1" applyBorder="1" applyAlignment="1" applyProtection="1">
      <alignment horizontal="center"/>
      <protection locked="0"/>
    </xf>
    <xf numFmtId="2" fontId="18" fillId="22" borderId="10" xfId="0" applyNumberFormat="1" applyFont="1" applyFill="1" applyBorder="1" applyAlignment="1" applyProtection="1">
      <alignment horizontal="center"/>
      <protection locked="0"/>
    </xf>
    <xf numFmtId="0" fontId="18" fillId="27" borderId="0" xfId="85" applyFont="1" applyFill="1" applyBorder="1" applyAlignment="1">
      <alignment horizontal="center" vertical="center"/>
      <protection/>
    </xf>
    <xf numFmtId="2" fontId="96" fillId="0" borderId="15" xfId="0" applyNumberFormat="1" applyFont="1" applyBorder="1" applyAlignment="1" applyProtection="1">
      <alignment horizontal="center"/>
      <protection hidden="1"/>
    </xf>
    <xf numFmtId="0" fontId="123" fillId="28" borderId="0" xfId="85" applyFont="1" applyFill="1" applyBorder="1" applyAlignment="1" applyProtection="1">
      <alignment horizontal="left"/>
      <protection hidden="1"/>
    </xf>
    <xf numFmtId="0" fontId="98" fillId="24" borderId="0" xfId="0" applyFont="1" applyFill="1" applyBorder="1" applyAlignment="1" applyProtection="1">
      <alignment vertical="center" wrapText="1"/>
      <protection hidden="1"/>
    </xf>
    <xf numFmtId="0" fontId="0" fillId="27" borderId="0" xfId="0" applyFont="1" applyFill="1" applyBorder="1" applyAlignment="1">
      <alignment/>
    </xf>
    <xf numFmtId="0" fontId="0" fillId="27" borderId="0" xfId="85" applyFont="1" applyFill="1" applyBorder="1" applyAlignment="1" applyProtection="1">
      <alignment/>
      <protection hidden="1"/>
    </xf>
    <xf numFmtId="0" fontId="31" fillId="27" borderId="0" xfId="85" applyFont="1" applyFill="1" applyBorder="1" applyAlignment="1" applyProtection="1">
      <alignment/>
      <protection hidden="1"/>
    </xf>
    <xf numFmtId="0" fontId="27" fillId="27" borderId="0" xfId="0" applyFont="1" applyFill="1" applyAlignment="1" applyProtection="1">
      <alignment/>
      <protection hidden="1"/>
    </xf>
    <xf numFmtId="2" fontId="18" fillId="27" borderId="0" xfId="0" applyNumberFormat="1" applyFont="1" applyFill="1" applyBorder="1" applyAlignment="1" applyProtection="1">
      <alignment horizontal="left" wrapText="1"/>
      <protection hidden="1"/>
    </xf>
    <xf numFmtId="0" fontId="18" fillId="0" borderId="0" xfId="85" applyFont="1">
      <alignment/>
      <protection/>
    </xf>
    <xf numFmtId="0" fontId="29" fillId="27" borderId="0" xfId="0" applyFont="1" applyFill="1" applyAlignment="1">
      <alignment/>
    </xf>
    <xf numFmtId="0" fontId="0" fillId="27" borderId="0" xfId="0" applyFill="1" applyAlignment="1">
      <alignment/>
    </xf>
    <xf numFmtId="0" fontId="18" fillId="0" borderId="0" xfId="0" applyFont="1" applyAlignment="1">
      <alignment/>
    </xf>
    <xf numFmtId="2" fontId="96" fillId="0" borderId="10" xfId="0" applyNumberFormat="1" applyFont="1" applyBorder="1" applyAlignment="1" applyProtection="1">
      <alignment horizontal="center"/>
      <protection hidden="1"/>
    </xf>
    <xf numFmtId="0" fontId="31" fillId="27" borderId="0" xfId="85" applyFont="1" applyFill="1" applyAlignment="1" applyProtection="1">
      <alignment wrapText="1"/>
      <protection hidden="1"/>
    </xf>
    <xf numFmtId="0" fontId="18" fillId="27" borderId="0" xfId="85" applyFont="1" applyFill="1" applyBorder="1" applyAlignment="1">
      <alignment horizontal="left"/>
      <protection/>
    </xf>
    <xf numFmtId="2" fontId="96" fillId="0" borderId="20" xfId="0" applyNumberFormat="1" applyFont="1" applyBorder="1" applyAlignment="1" applyProtection="1">
      <alignment horizontal="center"/>
      <protection hidden="1"/>
    </xf>
    <xf numFmtId="0" fontId="18" fillId="27" borderId="0" xfId="85" applyFill="1" applyAlignment="1">
      <alignment/>
      <protection/>
    </xf>
    <xf numFmtId="180" fontId="18" fillId="27" borderId="0" xfId="56" applyFont="1" applyFill="1" applyAlignment="1">
      <alignment horizontal="left" wrapText="1"/>
      <protection/>
    </xf>
    <xf numFmtId="180" fontId="18" fillId="27" borderId="0" xfId="56" applyFont="1" applyFill="1" applyAlignment="1">
      <alignment horizontal="center" wrapText="1"/>
      <protection/>
    </xf>
    <xf numFmtId="0" fontId="18" fillId="22" borderId="10" xfId="0" applyNumberFormat="1" applyFont="1" applyFill="1" applyBorder="1" applyAlignment="1" applyProtection="1">
      <alignment horizontal="center"/>
      <protection locked="0"/>
    </xf>
    <xf numFmtId="0" fontId="96" fillId="22" borderId="10" xfId="0" applyNumberFormat="1" applyFont="1" applyFill="1" applyBorder="1" applyAlignment="1" applyProtection="1">
      <alignment horizontal="center"/>
      <protection locked="0"/>
    </xf>
    <xf numFmtId="0" fontId="18" fillId="22" borderId="10" xfId="85" applyNumberFormat="1" applyFill="1" applyBorder="1" applyAlignment="1" applyProtection="1">
      <alignment horizontal="center"/>
      <protection locked="0"/>
    </xf>
    <xf numFmtId="0" fontId="18" fillId="22" borderId="10" xfId="85" applyNumberFormat="1" applyFont="1" applyFill="1" applyBorder="1" applyAlignment="1" applyProtection="1">
      <alignment horizontal="center"/>
      <protection locked="0"/>
    </xf>
    <xf numFmtId="0" fontId="18" fillId="24" borderId="10" xfId="85" applyNumberFormat="1" applyFill="1" applyBorder="1" applyAlignment="1">
      <alignment horizontal="center"/>
      <protection/>
    </xf>
    <xf numFmtId="0" fontId="18" fillId="22" borderId="10" xfId="0" applyNumberFormat="1" applyFont="1" applyFill="1" applyBorder="1" applyAlignment="1" applyProtection="1">
      <alignment horizontal="center"/>
      <protection locked="0"/>
    </xf>
    <xf numFmtId="0" fontId="18" fillId="22" borderId="11" xfId="85" applyNumberFormat="1" applyFont="1" applyFill="1" applyBorder="1" applyAlignment="1" applyProtection="1">
      <alignment horizontal="center"/>
      <protection locked="0"/>
    </xf>
    <xf numFmtId="0" fontId="18" fillId="22" borderId="45" xfId="86" applyNumberFormat="1" applyFont="1" applyFill="1" applyBorder="1" applyAlignment="1" applyProtection="1">
      <alignment horizontal="center"/>
      <protection locked="0"/>
    </xf>
    <xf numFmtId="0" fontId="18" fillId="22" borderId="15" xfId="85" applyNumberFormat="1" applyFill="1" applyBorder="1" applyAlignment="1" applyProtection="1">
      <alignment horizontal="center"/>
      <protection locked="0"/>
    </xf>
    <xf numFmtId="0" fontId="18" fillId="22" borderId="20" xfId="85" applyNumberFormat="1" applyFill="1" applyBorder="1" applyAlignment="1" applyProtection="1">
      <alignment horizontal="center"/>
      <protection locked="0"/>
    </xf>
    <xf numFmtId="0" fontId="18" fillId="22" borderId="0" xfId="84" applyNumberFormat="1" applyFont="1" applyFill="1" applyProtection="1">
      <alignment/>
      <protection locked="0"/>
    </xf>
    <xf numFmtId="0" fontId="18" fillId="22" borderId="0" xfId="85" applyNumberFormat="1" applyFill="1" applyProtection="1">
      <alignment/>
      <protection locked="0"/>
    </xf>
    <xf numFmtId="0" fontId="18" fillId="22" borderId="0" xfId="85" applyNumberFormat="1" applyFill="1" applyAlignment="1" applyProtection="1">
      <alignment horizontal="right"/>
      <protection locked="0"/>
    </xf>
    <xf numFmtId="0" fontId="18" fillId="22" borderId="15" xfId="0" applyNumberFormat="1" applyFont="1" applyFill="1" applyBorder="1" applyAlignment="1" applyProtection="1">
      <alignment horizontal="center"/>
      <protection locked="0"/>
    </xf>
    <xf numFmtId="0" fontId="18" fillId="22" borderId="23" xfId="0" applyNumberFormat="1" applyFont="1" applyFill="1" applyBorder="1" applyAlignment="1" applyProtection="1">
      <alignment horizontal="center"/>
      <protection locked="0"/>
    </xf>
    <xf numFmtId="0" fontId="18" fillId="22" borderId="20" xfId="0" applyNumberFormat="1" applyFont="1" applyFill="1" applyBorder="1" applyAlignment="1" applyProtection="1">
      <alignment horizontal="center"/>
      <protection locked="0"/>
    </xf>
    <xf numFmtId="0" fontId="18" fillId="22" borderId="18" xfId="0" applyNumberFormat="1" applyFont="1" applyFill="1" applyBorder="1" applyAlignment="1" applyProtection="1">
      <alignment horizontal="center"/>
      <protection locked="0"/>
    </xf>
    <xf numFmtId="0" fontId="18" fillId="22" borderId="27" xfId="0" applyNumberFormat="1" applyFont="1" applyFill="1" applyBorder="1" applyAlignment="1" applyProtection="1">
      <alignment horizontal="center"/>
      <protection locked="0"/>
    </xf>
    <xf numFmtId="0" fontId="18" fillId="22" borderId="21" xfId="0" applyNumberFormat="1" applyFont="1" applyFill="1" applyBorder="1" applyAlignment="1" applyProtection="1">
      <alignment horizontal="center"/>
      <protection locked="0"/>
    </xf>
    <xf numFmtId="0" fontId="18" fillId="31" borderId="0" xfId="85" applyNumberFormat="1" applyFont="1" applyFill="1" applyAlignment="1" applyProtection="1">
      <alignment horizontal="center"/>
      <protection locked="0"/>
    </xf>
    <xf numFmtId="0" fontId="18" fillId="31" borderId="0" xfId="0" applyNumberFormat="1" applyFont="1" applyFill="1" applyAlignment="1" applyProtection="1">
      <alignment horizontal="center" wrapText="1"/>
      <protection locked="0"/>
    </xf>
    <xf numFmtId="0" fontId="18" fillId="31" borderId="0" xfId="0" applyNumberFormat="1" applyFont="1" applyFill="1" applyAlignment="1" applyProtection="1">
      <alignment horizontal="center"/>
      <protection locked="0"/>
    </xf>
    <xf numFmtId="0" fontId="18" fillId="27" borderId="0" xfId="85" applyNumberFormat="1" applyFont="1" applyFill="1" applyAlignment="1">
      <alignment horizontal="left"/>
      <protection/>
    </xf>
    <xf numFmtId="0" fontId="18" fillId="22" borderId="10" xfId="85" applyNumberFormat="1" applyFill="1" applyBorder="1" applyAlignment="1" applyProtection="1">
      <alignment horizontal="center" wrapText="1"/>
      <protection locked="0"/>
    </xf>
    <xf numFmtId="0" fontId="18" fillId="22" borderId="0" xfId="85" applyNumberFormat="1" applyFill="1" applyAlignment="1" applyProtection="1">
      <alignment horizontal="center"/>
      <protection locked="0"/>
    </xf>
    <xf numFmtId="0" fontId="3" fillId="22" borderId="23" xfId="85" applyNumberFormat="1" applyFont="1" applyFill="1" applyBorder="1" applyProtection="1">
      <alignment/>
      <protection locked="0"/>
    </xf>
    <xf numFmtId="0" fontId="3" fillId="22" borderId="0" xfId="85" applyNumberFormat="1" applyFont="1" applyFill="1" applyProtection="1">
      <alignment/>
      <protection locked="0"/>
    </xf>
    <xf numFmtId="0" fontId="3" fillId="22" borderId="0" xfId="85" applyNumberFormat="1" applyFont="1" applyFill="1" applyAlignment="1" applyProtection="1">
      <alignment horizontal="left"/>
      <protection locked="0"/>
    </xf>
    <xf numFmtId="0" fontId="12" fillId="22" borderId="0" xfId="85" applyNumberFormat="1" applyFont="1" applyFill="1" applyProtection="1">
      <alignment/>
      <protection locked="0"/>
    </xf>
    <xf numFmtId="0" fontId="3" fillId="24" borderId="0" xfId="85" applyNumberFormat="1" applyFont="1" applyFill="1" applyProtection="1">
      <alignment/>
      <protection hidden="1"/>
    </xf>
    <xf numFmtId="0" fontId="18" fillId="22" borderId="0" xfId="85" applyNumberFormat="1" applyFont="1" applyFill="1" applyProtection="1">
      <alignment/>
      <protection locked="0"/>
    </xf>
    <xf numFmtId="0" fontId="95" fillId="22" borderId="0" xfId="85" applyNumberFormat="1" applyFont="1" applyFill="1" applyProtection="1">
      <alignment/>
      <protection locked="0"/>
    </xf>
    <xf numFmtId="0" fontId="89" fillId="22" borderId="0" xfId="85" applyNumberFormat="1" applyFont="1" applyFill="1" applyAlignment="1" applyProtection="1">
      <alignment horizontal="right"/>
      <protection locked="0"/>
    </xf>
    <xf numFmtId="0" fontId="3" fillId="22" borderId="0" xfId="85" applyNumberFormat="1" applyFont="1" applyFill="1" applyAlignment="1" applyProtection="1">
      <alignment horizontal="right"/>
      <protection locked="0"/>
    </xf>
    <xf numFmtId="0" fontId="3" fillId="22" borderId="20" xfId="76" applyNumberFormat="1" applyFont="1" applyFill="1" applyBorder="1" applyAlignment="1" applyProtection="1">
      <alignment horizontal="center"/>
      <protection locked="0"/>
    </xf>
    <xf numFmtId="0" fontId="3" fillId="22" borderId="20" xfId="85" applyNumberFormat="1" applyFont="1" applyFill="1" applyBorder="1" applyProtection="1">
      <alignment/>
      <protection locked="0"/>
    </xf>
    <xf numFmtId="0" fontId="75" fillId="22" borderId="23" xfId="85" applyNumberFormat="1" applyFont="1" applyFill="1" applyBorder="1" applyProtection="1">
      <alignment/>
      <protection locked="0"/>
    </xf>
    <xf numFmtId="0" fontId="75" fillId="22" borderId="20" xfId="85" applyNumberFormat="1" applyFont="1" applyFill="1" applyBorder="1" applyProtection="1">
      <alignment/>
      <protection locked="0"/>
    </xf>
    <xf numFmtId="0" fontId="28" fillId="0" borderId="0" xfId="85" applyNumberFormat="1" applyFont="1" applyBorder="1" applyProtection="1">
      <alignment/>
      <protection locked="0"/>
    </xf>
    <xf numFmtId="0" fontId="16" fillId="0" borderId="0" xfId="85" applyNumberFormat="1" applyFont="1" applyProtection="1">
      <alignment/>
      <protection locked="0"/>
    </xf>
    <xf numFmtId="0" fontId="21" fillId="0" borderId="0" xfId="85" applyNumberFormat="1" applyFont="1" applyProtection="1">
      <alignment/>
      <protection locked="0"/>
    </xf>
    <xf numFmtId="0" fontId="21" fillId="0" borderId="0" xfId="85" applyNumberFormat="1" applyFont="1" applyAlignment="1" applyProtection="1">
      <alignment horizontal="right"/>
      <protection locked="0"/>
    </xf>
    <xf numFmtId="0" fontId="21" fillId="4" borderId="0" xfId="85" applyNumberFormat="1" applyFont="1" applyFill="1" applyProtection="1">
      <alignment/>
      <protection locked="0"/>
    </xf>
    <xf numFmtId="0" fontId="16" fillId="0" borderId="0" xfId="0" applyNumberFormat="1" applyFont="1" applyAlignment="1" applyProtection="1">
      <alignment/>
      <protection locked="0"/>
    </xf>
    <xf numFmtId="0" fontId="21" fillId="4" borderId="0" xfId="85" applyNumberFormat="1" applyFont="1" applyFill="1" applyAlignment="1" applyProtection="1">
      <alignment horizontal="right"/>
      <protection locked="0"/>
    </xf>
    <xf numFmtId="0" fontId="28" fillId="0" borderId="0" xfId="85" applyNumberFormat="1" applyFont="1" applyFill="1" applyBorder="1" applyProtection="1">
      <alignment/>
      <protection locked="0"/>
    </xf>
    <xf numFmtId="0" fontId="25" fillId="0" borderId="0" xfId="85" applyNumberFormat="1" applyFont="1" applyProtection="1">
      <alignment/>
      <protection locked="0"/>
    </xf>
    <xf numFmtId="0" fontId="25" fillId="0" borderId="0" xfId="85" applyNumberFormat="1" applyFont="1" applyAlignment="1" applyProtection="1">
      <alignment horizontal="right"/>
      <protection locked="0"/>
    </xf>
    <xf numFmtId="0" fontId="25" fillId="4" borderId="0" xfId="85" applyNumberFormat="1" applyFont="1" applyFill="1" applyProtection="1">
      <alignment/>
      <protection locked="0"/>
    </xf>
    <xf numFmtId="0" fontId="25" fillId="4" borderId="0" xfId="85" applyNumberFormat="1" applyFont="1" applyFill="1" applyAlignment="1" applyProtection="1">
      <alignment horizontal="right"/>
      <protection locked="0"/>
    </xf>
    <xf numFmtId="0" fontId="28" fillId="0" borderId="0" xfId="0" applyNumberFormat="1" applyFont="1" applyBorder="1" applyAlignment="1" applyProtection="1">
      <alignment/>
      <protection locked="0"/>
    </xf>
    <xf numFmtId="0" fontId="0" fillId="0" borderId="0" xfId="0" applyNumberFormat="1" applyFont="1" applyAlignment="1">
      <alignment/>
    </xf>
    <xf numFmtId="0" fontId="14" fillId="0" borderId="0" xfId="85" applyNumberFormat="1" applyFont="1" applyBorder="1" applyAlignment="1" applyProtection="1">
      <alignment horizontal="right"/>
      <protection locked="0"/>
    </xf>
    <xf numFmtId="0" fontId="28" fillId="0" borderId="0" xfId="85" applyNumberFormat="1" applyFont="1" applyProtection="1">
      <alignment/>
      <protection locked="0"/>
    </xf>
    <xf numFmtId="0" fontId="77" fillId="0" borderId="0" xfId="85" applyNumberFormat="1" applyFont="1" applyProtection="1">
      <alignment/>
      <protection hidden="1"/>
    </xf>
    <xf numFmtId="0" fontId="27" fillId="0" borderId="0" xfId="85" applyNumberFormat="1" applyFont="1" applyFill="1" applyBorder="1" applyProtection="1">
      <alignment/>
      <protection hidden="1"/>
    </xf>
    <xf numFmtId="0" fontId="25" fillId="0" borderId="0" xfId="85" applyNumberFormat="1" applyFont="1" applyAlignment="1" applyProtection="1">
      <alignment horizontal="center"/>
      <protection hidden="1"/>
    </xf>
    <xf numFmtId="0" fontId="25" fillId="0" borderId="0" xfId="85" applyNumberFormat="1" applyFont="1" applyProtection="1">
      <alignment/>
      <protection hidden="1"/>
    </xf>
    <xf numFmtId="0" fontId="21" fillId="0" borderId="0" xfId="85" applyNumberFormat="1" applyFont="1" applyProtection="1">
      <alignment/>
      <protection hidden="1"/>
    </xf>
    <xf numFmtId="0" fontId="118" fillId="0" borderId="0" xfId="0" applyNumberFormat="1" applyFont="1" applyAlignment="1" applyProtection="1">
      <alignment/>
      <protection hidden="1"/>
    </xf>
    <xf numFmtId="0" fontId="75" fillId="22" borderId="0" xfId="85" applyNumberFormat="1" applyFont="1" applyFill="1" applyProtection="1">
      <alignment/>
      <protection locked="0"/>
    </xf>
    <xf numFmtId="2" fontId="118" fillId="0" borderId="0" xfId="0" applyNumberFormat="1" applyFont="1" applyAlignment="1" applyProtection="1">
      <alignment/>
      <protection hidden="1"/>
    </xf>
    <xf numFmtId="0" fontId="3" fillId="0" borderId="10" xfId="0" applyNumberFormat="1" applyFont="1" applyBorder="1" applyAlignment="1" applyProtection="1">
      <alignment horizontal="center"/>
      <protection hidden="1"/>
    </xf>
    <xf numFmtId="0" fontId="3" fillId="6" borderId="10" xfId="85" applyNumberFormat="1" applyFont="1" applyFill="1" applyBorder="1" applyProtection="1">
      <alignment/>
      <protection locked="0"/>
    </xf>
    <xf numFmtId="0" fontId="3" fillId="22" borderId="10" xfId="85" applyNumberFormat="1" applyFont="1" applyFill="1" applyBorder="1" applyProtection="1">
      <alignment/>
      <protection locked="0"/>
    </xf>
    <xf numFmtId="0" fontId="3" fillId="6" borderId="10" xfId="0" applyNumberFormat="1" applyFont="1" applyFill="1" applyBorder="1" applyAlignment="1" applyProtection="1">
      <alignment/>
      <protection locked="0"/>
    </xf>
    <xf numFmtId="0" fontId="3" fillId="0" borderId="10" xfId="85" applyNumberFormat="1" applyFont="1" applyBorder="1" applyProtection="1">
      <alignment/>
      <protection hidden="1"/>
    </xf>
    <xf numFmtId="0" fontId="3" fillId="0" borderId="11" xfId="85" applyNumberFormat="1" applyFont="1" applyBorder="1" applyProtection="1">
      <alignment/>
      <protection hidden="1"/>
    </xf>
    <xf numFmtId="0" fontId="3" fillId="22" borderId="10" xfId="0" applyNumberFormat="1" applyFont="1" applyFill="1" applyBorder="1" applyAlignment="1" applyProtection="1">
      <alignment/>
      <protection locked="0"/>
    </xf>
    <xf numFmtId="0" fontId="3" fillId="0" borderId="10" xfId="0" applyNumberFormat="1" applyFont="1" applyBorder="1" applyAlignment="1" applyProtection="1">
      <alignment/>
      <protection hidden="1"/>
    </xf>
    <xf numFmtId="0" fontId="3" fillId="0" borderId="11" xfId="0" applyNumberFormat="1" applyFont="1" applyBorder="1" applyAlignment="1" applyProtection="1">
      <alignment/>
      <protection hidden="1"/>
    </xf>
    <xf numFmtId="0" fontId="0" fillId="24" borderId="0" xfId="0" applyNumberFormat="1" applyFont="1" applyFill="1" applyAlignment="1" applyProtection="1">
      <alignment/>
      <protection hidden="1"/>
    </xf>
    <xf numFmtId="0" fontId="3" fillId="6" borderId="10" xfId="0" applyNumberFormat="1" applyFont="1" applyFill="1" applyBorder="1" applyAlignment="1" applyProtection="1">
      <alignment horizontal="right"/>
      <protection locked="0"/>
    </xf>
    <xf numFmtId="0" fontId="3" fillId="0" borderId="10" xfId="0" applyNumberFormat="1" applyFont="1" applyBorder="1" applyAlignment="1" applyProtection="1">
      <alignment horizontal="left"/>
      <protection hidden="1"/>
    </xf>
    <xf numFmtId="0" fontId="3" fillId="0" borderId="10" xfId="0" applyNumberFormat="1" applyFont="1" applyBorder="1" applyAlignment="1" applyProtection="1">
      <alignment horizontal="right"/>
      <protection hidden="1"/>
    </xf>
    <xf numFmtId="0" fontId="18" fillId="0" borderId="10" xfId="0" applyNumberFormat="1" applyFont="1" applyBorder="1" applyAlignment="1" applyProtection="1">
      <alignment horizontal="right"/>
      <protection hidden="1"/>
    </xf>
    <xf numFmtId="0" fontId="3" fillId="24" borderId="10" xfId="0" applyNumberFormat="1" applyFont="1" applyFill="1" applyBorder="1" applyAlignment="1" applyProtection="1">
      <alignment/>
      <protection hidden="1"/>
    </xf>
    <xf numFmtId="0" fontId="3" fillId="24" borderId="10" xfId="0" applyNumberFormat="1" applyFont="1" applyFill="1" applyBorder="1" applyAlignment="1">
      <alignment/>
    </xf>
    <xf numFmtId="0" fontId="3" fillId="6" borderId="10" xfId="85" applyNumberFormat="1" applyFont="1" applyFill="1" applyBorder="1" applyAlignment="1" applyProtection="1">
      <alignment horizontal="right"/>
      <protection locked="0"/>
    </xf>
    <xf numFmtId="0" fontId="3" fillId="24" borderId="0" xfId="0" applyNumberFormat="1" applyFont="1" applyFill="1" applyAlignment="1" applyProtection="1">
      <alignment/>
      <protection hidden="1"/>
    </xf>
    <xf numFmtId="0" fontId="7" fillId="24" borderId="0" xfId="0" applyNumberFormat="1" applyFont="1" applyFill="1" applyAlignment="1" applyProtection="1">
      <alignment/>
      <protection hidden="1"/>
    </xf>
    <xf numFmtId="0" fontId="7" fillId="24" borderId="0" xfId="0" applyNumberFormat="1" applyFont="1" applyFill="1" applyAlignment="1" applyProtection="1">
      <alignment horizontal="right"/>
      <protection hidden="1"/>
    </xf>
    <xf numFmtId="0" fontId="64" fillId="24" borderId="0" xfId="0" applyNumberFormat="1" applyFont="1" applyFill="1" applyAlignment="1" applyProtection="1">
      <alignment/>
      <protection hidden="1"/>
    </xf>
    <xf numFmtId="0" fontId="3" fillId="24" borderId="0" xfId="0" applyNumberFormat="1" applyFont="1" applyFill="1" applyAlignment="1" applyProtection="1">
      <alignment horizontal="left"/>
      <protection hidden="1"/>
    </xf>
    <xf numFmtId="0" fontId="5" fillId="24" borderId="0" xfId="85" applyNumberFormat="1" applyFont="1" applyFill="1" applyAlignment="1" applyProtection="1">
      <alignment horizontal="left"/>
      <protection hidden="1"/>
    </xf>
    <xf numFmtId="0" fontId="18" fillId="24" borderId="0" xfId="84" applyNumberFormat="1" applyFont="1" applyFill="1" applyProtection="1">
      <alignment/>
      <protection hidden="1"/>
    </xf>
    <xf numFmtId="0" fontId="3" fillId="0" borderId="20" xfId="85" applyNumberFormat="1" applyFont="1" applyBorder="1" applyAlignment="1" applyProtection="1">
      <alignment horizontal="right"/>
      <protection locked="0"/>
    </xf>
    <xf numFmtId="0" fontId="3" fillId="0" borderId="20" xfId="85" applyNumberFormat="1" applyFont="1" applyBorder="1" applyProtection="1">
      <alignment/>
      <protection hidden="1"/>
    </xf>
    <xf numFmtId="0" fontId="3" fillId="0" borderId="20" xfId="85" applyNumberFormat="1" applyFont="1" applyBorder="1" applyProtection="1">
      <alignment/>
      <protection locked="0"/>
    </xf>
    <xf numFmtId="0" fontId="3" fillId="0" borderId="10" xfId="85" applyNumberFormat="1" applyFont="1" applyBorder="1" applyAlignment="1" applyProtection="1">
      <alignment horizontal="right"/>
      <protection locked="0"/>
    </xf>
    <xf numFmtId="0" fontId="3" fillId="0" borderId="10" xfId="85" applyNumberFormat="1" applyFont="1" applyBorder="1" applyProtection="1">
      <alignment/>
      <protection locked="0"/>
    </xf>
    <xf numFmtId="0" fontId="3" fillId="4" borderId="10" xfId="85" applyNumberFormat="1" applyFont="1" applyFill="1" applyBorder="1" applyProtection="1">
      <alignment/>
      <protection locked="0"/>
    </xf>
    <xf numFmtId="0" fontId="3" fillId="0" borderId="10" xfId="85" applyNumberFormat="1" applyFont="1" applyBorder="1" applyAlignment="1" applyProtection="1" quotePrefix="1">
      <alignment horizontal="right"/>
      <protection locked="0"/>
    </xf>
    <xf numFmtId="0" fontId="0" fillId="0" borderId="10" xfId="85" applyNumberFormat="1" applyFont="1" applyBorder="1" applyProtection="1">
      <alignment/>
      <protection locked="0"/>
    </xf>
    <xf numFmtId="0" fontId="9" fillId="0" borderId="10" xfId="85" applyNumberFormat="1" applyFont="1" applyBorder="1" applyAlignment="1" applyProtection="1">
      <alignment horizontal="right"/>
      <protection locked="0"/>
    </xf>
    <xf numFmtId="0" fontId="0" fillId="0" borderId="10" xfId="85" applyNumberFormat="1" applyFont="1" applyBorder="1">
      <alignment/>
      <protection/>
    </xf>
    <xf numFmtId="0" fontId="3" fillId="22" borderId="10" xfId="85" applyNumberFormat="1" applyFont="1" applyFill="1" applyBorder="1" applyAlignment="1" applyProtection="1">
      <alignment horizontal="right"/>
      <protection locked="0"/>
    </xf>
    <xf numFmtId="0" fontId="0" fillId="0" borderId="0" xfId="83" applyProtection="1">
      <alignment/>
      <protection hidden="1"/>
    </xf>
    <xf numFmtId="0" fontId="0" fillId="0" borderId="0" xfId="0" applyNumberFormat="1" applyFont="1" applyAlignment="1" applyProtection="1">
      <alignment/>
      <protection hidden="1"/>
    </xf>
    <xf numFmtId="0" fontId="18" fillId="0" borderId="10" xfId="77" applyFont="1" applyBorder="1" applyAlignment="1" applyProtection="1" quotePrefix="1">
      <alignment horizontal="center"/>
      <protection hidden="1"/>
    </xf>
    <xf numFmtId="0" fontId="18" fillId="0" borderId="0" xfId="85" applyFill="1">
      <alignment/>
      <protection/>
    </xf>
    <xf numFmtId="184" fontId="27" fillId="0" borderId="0" xfId="84" applyNumberFormat="1" applyFont="1" applyFill="1" applyAlignment="1" applyProtection="1">
      <alignment horizontal="center" wrapText="1"/>
      <protection locked="0"/>
    </xf>
    <xf numFmtId="0" fontId="66" fillId="0" borderId="0" xfId="84" applyFont="1" applyFill="1" applyBorder="1" applyAlignment="1" applyProtection="1">
      <alignment horizontal="centerContinuous"/>
      <protection hidden="1"/>
    </xf>
    <xf numFmtId="183" fontId="66" fillId="0" borderId="0" xfId="84" applyNumberFormat="1" applyFont="1" applyFill="1" applyBorder="1" applyAlignment="1" applyProtection="1">
      <alignment horizontal="center" vertical="center" wrapText="1"/>
      <protection hidden="1"/>
    </xf>
    <xf numFmtId="0" fontId="66" fillId="0" borderId="0" xfId="84" applyFont="1" applyFill="1" applyBorder="1" applyAlignment="1" applyProtection="1">
      <alignment horizontal="center"/>
      <protection hidden="1"/>
    </xf>
    <xf numFmtId="183" fontId="66" fillId="0" borderId="0" xfId="84" applyNumberFormat="1" applyFont="1" applyFill="1" applyBorder="1" applyAlignment="1" applyProtection="1">
      <alignment horizontal="center"/>
      <protection hidden="1"/>
    </xf>
    <xf numFmtId="9" fontId="3" fillId="22" borderId="13" xfId="85" applyNumberFormat="1" applyFont="1" applyFill="1" applyBorder="1" applyProtection="1">
      <alignment/>
      <protection locked="0"/>
    </xf>
    <xf numFmtId="9" fontId="0" fillId="22" borderId="13" xfId="0" applyNumberFormat="1" applyFont="1" applyFill="1" applyBorder="1" applyAlignment="1">
      <alignment/>
    </xf>
    <xf numFmtId="9" fontId="3" fillId="22" borderId="23" xfId="85" applyNumberFormat="1" applyFont="1" applyFill="1" applyBorder="1" applyProtection="1">
      <alignment/>
      <protection locked="0"/>
    </xf>
    <xf numFmtId="9" fontId="3" fillId="22" borderId="14" xfId="85" applyNumberFormat="1" applyFont="1" applyFill="1" applyBorder="1" applyProtection="1">
      <alignment/>
      <protection locked="0"/>
    </xf>
    <xf numFmtId="9" fontId="13" fillId="22" borderId="13" xfId="85" applyNumberFormat="1" applyFont="1" applyFill="1" applyBorder="1" applyProtection="1">
      <alignment/>
      <protection locked="0"/>
    </xf>
    <xf numFmtId="9" fontId="13" fillId="22" borderId="14" xfId="85" applyNumberFormat="1" applyFont="1" applyFill="1" applyBorder="1" applyProtection="1">
      <alignment/>
      <protection locked="0"/>
    </xf>
    <xf numFmtId="9" fontId="3" fillId="6" borderId="10" xfId="0" applyNumberFormat="1" applyFont="1" applyFill="1" applyBorder="1" applyAlignment="1" applyProtection="1">
      <alignment/>
      <protection locked="0"/>
    </xf>
    <xf numFmtId="0" fontId="18" fillId="27" borderId="0" xfId="85" applyFill="1" applyAlignment="1" applyProtection="1">
      <alignment horizontal="right"/>
      <protection hidden="1"/>
    </xf>
    <xf numFmtId="0" fontId="18" fillId="22" borderId="10" xfId="84" applyNumberFormat="1" applyFont="1" applyFill="1" applyBorder="1" applyAlignment="1" applyProtection="1">
      <alignment horizontal="right" wrapText="1"/>
      <protection locked="0"/>
    </xf>
    <xf numFmtId="0" fontId="18" fillId="24" borderId="14" xfId="0" applyFont="1" applyFill="1" applyBorder="1" applyAlignment="1" applyProtection="1">
      <alignment horizontal="center"/>
      <protection hidden="1"/>
    </xf>
    <xf numFmtId="0" fontId="18" fillId="27" borderId="17" xfId="84" applyNumberFormat="1" applyFont="1" applyFill="1" applyBorder="1" applyAlignment="1" applyProtection="1">
      <alignment horizontal="left" wrapText="1"/>
      <protection locked="0"/>
    </xf>
    <xf numFmtId="2" fontId="18" fillId="27" borderId="11" xfId="0" applyNumberFormat="1" applyFont="1" applyFill="1" applyBorder="1" applyAlignment="1" applyProtection="1">
      <alignment horizontal="right"/>
      <protection hidden="1"/>
    </xf>
    <xf numFmtId="0" fontId="18" fillId="27" borderId="16" xfId="0" applyFont="1" applyFill="1" applyBorder="1" applyAlignment="1" applyProtection="1">
      <alignment horizontal="left"/>
      <protection hidden="1"/>
    </xf>
    <xf numFmtId="2" fontId="18" fillId="27" borderId="12" xfId="94" applyNumberFormat="1" applyFont="1" applyFill="1" applyBorder="1" applyAlignment="1" applyProtection="1">
      <alignment horizontal="right"/>
      <protection hidden="1"/>
    </xf>
    <xf numFmtId="0" fontId="18" fillId="27" borderId="18" xfId="0" applyFont="1" applyFill="1" applyBorder="1" applyAlignment="1" applyProtection="1">
      <alignment horizontal="left"/>
      <protection hidden="1"/>
    </xf>
    <xf numFmtId="2" fontId="18" fillId="27" borderId="11" xfId="94" applyNumberFormat="1" applyFont="1" applyFill="1" applyBorder="1" applyAlignment="1" applyProtection="1">
      <alignment horizontal="right"/>
      <protection hidden="1"/>
    </xf>
    <xf numFmtId="0" fontId="31" fillId="24" borderId="0" xfId="85" applyFont="1" applyFill="1" applyBorder="1" applyProtection="1">
      <alignment/>
      <protection hidden="1"/>
    </xf>
    <xf numFmtId="0" fontId="18" fillId="24" borderId="16" xfId="84" applyFont="1" applyFill="1" applyBorder="1" applyProtection="1">
      <alignment/>
      <protection hidden="1"/>
    </xf>
    <xf numFmtId="0" fontId="20" fillId="27" borderId="0" xfId="85" applyFont="1" applyFill="1" applyBorder="1">
      <alignment/>
      <protection/>
    </xf>
    <xf numFmtId="0" fontId="18" fillId="27" borderId="16" xfId="84" applyFont="1" applyFill="1" applyBorder="1" applyProtection="1">
      <alignment/>
      <protection hidden="1"/>
    </xf>
    <xf numFmtId="0" fontId="18" fillId="0" borderId="10" xfId="84" applyFont="1" applyFill="1" applyBorder="1" applyProtection="1">
      <alignment/>
      <protection hidden="1"/>
    </xf>
    <xf numFmtId="183" fontId="18" fillId="0" borderId="10" xfId="84" applyNumberFormat="1" applyFont="1" applyFill="1" applyBorder="1" applyProtection="1">
      <alignment/>
      <protection hidden="1"/>
    </xf>
    <xf numFmtId="0" fontId="74" fillId="24" borderId="0" xfId="85" applyFont="1" applyFill="1" applyAlignment="1" applyProtection="1">
      <alignment horizontal="left"/>
      <protection hidden="1"/>
    </xf>
    <xf numFmtId="0" fontId="0" fillId="24" borderId="0" xfId="0" applyFont="1" applyFill="1" applyAlignment="1" applyProtection="1">
      <alignment/>
      <protection hidden="1"/>
    </xf>
    <xf numFmtId="0" fontId="21" fillId="24" borderId="0" xfId="85" applyFont="1" applyFill="1" applyAlignment="1" applyProtection="1">
      <alignment/>
      <protection hidden="1"/>
    </xf>
    <xf numFmtId="182" fontId="21" fillId="24" borderId="0" xfId="85" applyNumberFormat="1" applyFont="1" applyFill="1" applyAlignment="1" applyProtection="1">
      <alignment/>
      <protection hidden="1"/>
    </xf>
    <xf numFmtId="0" fontId="25" fillId="24" borderId="0" xfId="85" applyFont="1" applyFill="1" applyAlignment="1" applyProtection="1">
      <alignment/>
      <protection hidden="1"/>
    </xf>
    <xf numFmtId="0" fontId="13" fillId="24" borderId="0" xfId="85" applyFont="1" applyFill="1" applyAlignment="1" applyProtection="1">
      <alignment/>
      <protection hidden="1"/>
    </xf>
    <xf numFmtId="1" fontId="13" fillId="24" borderId="0" xfId="85" applyNumberFormat="1" applyFont="1" applyFill="1" applyAlignment="1" applyProtection="1">
      <alignment/>
      <protection hidden="1"/>
    </xf>
    <xf numFmtId="0" fontId="3" fillId="24" borderId="0" xfId="76" applyFont="1" applyFill="1" applyAlignment="1" applyProtection="1">
      <alignment/>
      <protection hidden="1"/>
    </xf>
    <xf numFmtId="0" fontId="3" fillId="24" borderId="0" xfId="85" applyFont="1" applyFill="1" applyAlignment="1" applyProtection="1">
      <alignment/>
      <protection hidden="1"/>
    </xf>
    <xf numFmtId="0" fontId="13" fillId="0" borderId="0" xfId="85" applyFont="1" applyAlignment="1" applyProtection="1">
      <alignment/>
      <protection hidden="1"/>
    </xf>
    <xf numFmtId="0" fontId="0" fillId="24" borderId="0" xfId="83" applyFill="1" applyAlignment="1" applyProtection="1">
      <alignment/>
      <protection hidden="1"/>
    </xf>
    <xf numFmtId="0" fontId="3" fillId="0" borderId="0" xfId="85" applyFont="1" applyAlignment="1" applyProtection="1">
      <alignment/>
      <protection hidden="1"/>
    </xf>
    <xf numFmtId="0" fontId="24" fillId="24" borderId="0" xfId="85" applyFont="1" applyFill="1" applyAlignment="1" applyProtection="1">
      <alignment/>
      <protection hidden="1"/>
    </xf>
    <xf numFmtId="0" fontId="0" fillId="24" borderId="0" xfId="85" applyFont="1" applyFill="1" applyAlignment="1" applyProtection="1">
      <alignment/>
      <protection hidden="1"/>
    </xf>
    <xf numFmtId="0" fontId="24" fillId="24" borderId="0" xfId="83" applyFont="1" applyFill="1" applyAlignment="1" applyProtection="1">
      <alignment/>
      <protection hidden="1"/>
    </xf>
    <xf numFmtId="182" fontId="3" fillId="0" borderId="0" xfId="85" applyNumberFormat="1" applyFont="1" applyAlignment="1" applyProtection="1">
      <alignment/>
      <protection hidden="1"/>
    </xf>
    <xf numFmtId="0" fontId="21" fillId="0" borderId="0" xfId="85" applyFont="1" applyAlignment="1" applyProtection="1">
      <alignment/>
      <protection hidden="1"/>
    </xf>
    <xf numFmtId="0" fontId="18" fillId="0" borderId="0" xfId="85" applyAlignment="1" applyProtection="1">
      <alignment/>
      <protection hidden="1"/>
    </xf>
    <xf numFmtId="0" fontId="15" fillId="24" borderId="0" xfId="85" applyFont="1" applyFill="1" applyAlignment="1" applyProtection="1">
      <alignment/>
      <protection hidden="1"/>
    </xf>
    <xf numFmtId="0" fontId="16" fillId="24" borderId="0" xfId="83" applyFont="1" applyFill="1" applyAlignment="1" applyProtection="1">
      <alignment/>
      <protection hidden="1"/>
    </xf>
    <xf numFmtId="1" fontId="3" fillId="24" borderId="0" xfId="85" applyNumberFormat="1" applyFont="1" applyFill="1" applyAlignment="1" applyProtection="1">
      <alignment/>
      <protection hidden="1"/>
    </xf>
    <xf numFmtId="0" fontId="0" fillId="0" borderId="0" xfId="0" applyFont="1" applyAlignment="1" applyProtection="1">
      <alignment/>
      <protection hidden="1"/>
    </xf>
    <xf numFmtId="0" fontId="27" fillId="0" borderId="0" xfId="85" applyNumberFormat="1" applyFont="1" applyFill="1" applyProtection="1">
      <alignment/>
      <protection hidden="1"/>
    </xf>
    <xf numFmtId="1" fontId="75" fillId="24" borderId="0" xfId="85" applyNumberFormat="1" applyFont="1" applyFill="1" applyProtection="1">
      <alignment/>
      <protection hidden="1"/>
    </xf>
    <xf numFmtId="2" fontId="21" fillId="24" borderId="0" xfId="85" applyNumberFormat="1" applyFont="1" applyFill="1" applyProtection="1">
      <alignment/>
      <protection hidden="1"/>
    </xf>
    <xf numFmtId="0" fontId="19" fillId="24" borderId="0" xfId="65" applyFont="1" applyFill="1" applyAlignment="1" applyProtection="1">
      <alignment horizontal="right" vertical="center" wrapText="1"/>
      <protection hidden="1"/>
    </xf>
    <xf numFmtId="1" fontId="3" fillId="27" borderId="0" xfId="85" applyNumberFormat="1" applyFont="1" applyFill="1" applyProtection="1">
      <alignment/>
      <protection hidden="1"/>
    </xf>
    <xf numFmtId="2" fontId="3" fillId="27" borderId="0" xfId="85" applyNumberFormat="1" applyFont="1" applyFill="1" applyProtection="1">
      <alignment/>
      <protection hidden="1"/>
    </xf>
    <xf numFmtId="0" fontId="3" fillId="27" borderId="12" xfId="76" applyFont="1" applyFill="1" applyBorder="1" applyAlignment="1" applyProtection="1">
      <alignment horizontal="center"/>
      <protection hidden="1"/>
    </xf>
    <xf numFmtId="0" fontId="3" fillId="27" borderId="15" xfId="76" applyFont="1" applyFill="1" applyBorder="1" applyAlignment="1" applyProtection="1">
      <alignment horizontal="center"/>
      <protection hidden="1"/>
    </xf>
    <xf numFmtId="0" fontId="3" fillId="27" borderId="18" xfId="85" applyFont="1" applyFill="1" applyBorder="1" applyAlignment="1" applyProtection="1">
      <alignment horizontal="center"/>
      <protection hidden="1"/>
    </xf>
    <xf numFmtId="182" fontId="3" fillId="27" borderId="0" xfId="85" applyNumberFormat="1" applyFont="1" applyFill="1" applyProtection="1">
      <alignment/>
      <protection hidden="1"/>
    </xf>
    <xf numFmtId="9" fontId="75" fillId="27" borderId="0" xfId="100" applyFont="1" applyFill="1" applyBorder="1" applyAlignment="1">
      <alignment vertical="top" wrapText="1"/>
      <protection/>
    </xf>
    <xf numFmtId="0" fontId="3" fillId="24" borderId="0" xfId="85" applyFont="1" applyFill="1" applyBorder="1" applyProtection="1">
      <alignment/>
      <protection hidden="1"/>
    </xf>
    <xf numFmtId="0" fontId="3" fillId="24" borderId="0" xfId="77" applyFont="1" applyFill="1" applyBorder="1" applyAlignment="1" applyProtection="1">
      <alignment horizontal="right"/>
      <protection hidden="1"/>
    </xf>
    <xf numFmtId="182" fontId="3" fillId="27" borderId="0" xfId="85" applyNumberFormat="1" applyFont="1" applyFill="1" applyAlignment="1" applyProtection="1">
      <alignment horizontal="right"/>
      <protection hidden="1"/>
    </xf>
    <xf numFmtId="0" fontId="3" fillId="27" borderId="0" xfId="85" applyFont="1" applyFill="1" applyAlignment="1" applyProtection="1">
      <alignment horizontal="left"/>
      <protection hidden="1"/>
    </xf>
    <xf numFmtId="0" fontId="27" fillId="27" borderId="0" xfId="85" applyFont="1" applyFill="1" applyProtection="1">
      <alignment/>
      <protection hidden="1"/>
    </xf>
    <xf numFmtId="0" fontId="13" fillId="27" borderId="0" xfId="85" applyFont="1" applyFill="1" applyAlignment="1" applyProtection="1">
      <alignment horizontal="right"/>
      <protection hidden="1"/>
    </xf>
    <xf numFmtId="0" fontId="87" fillId="27" borderId="0" xfId="85" applyFont="1" applyFill="1" applyProtection="1">
      <alignment/>
      <protection hidden="1"/>
    </xf>
    <xf numFmtId="2" fontId="3" fillId="27" borderId="0" xfId="85" applyNumberFormat="1" applyFont="1" applyFill="1" applyAlignment="1" applyProtection="1">
      <alignment horizontal="left"/>
      <protection hidden="1"/>
    </xf>
    <xf numFmtId="0" fontId="35" fillId="27" borderId="0" xfId="85" applyFont="1" applyFill="1" applyProtection="1">
      <alignment/>
      <protection hidden="1"/>
    </xf>
    <xf numFmtId="182" fontId="25" fillId="27" borderId="0" xfId="85" applyNumberFormat="1" applyFont="1" applyFill="1" applyProtection="1">
      <alignment/>
      <protection hidden="1"/>
    </xf>
    <xf numFmtId="0" fontId="0" fillId="27" borderId="0" xfId="77" applyFill="1" applyProtection="1">
      <alignment/>
      <protection hidden="1"/>
    </xf>
    <xf numFmtId="182" fontId="3" fillId="27" borderId="0" xfId="85" applyNumberFormat="1" applyFont="1" applyFill="1" applyAlignment="1" applyProtection="1">
      <alignment horizontal="left" vertical="center" wrapText="1"/>
      <protection hidden="1"/>
    </xf>
    <xf numFmtId="0" fontId="0" fillId="27" borderId="0" xfId="77" applyFill="1" applyAlignment="1" applyProtection="1">
      <alignment horizontal="center"/>
      <protection hidden="1"/>
    </xf>
    <xf numFmtId="182" fontId="0" fillId="27" borderId="0" xfId="77" applyNumberFormat="1" applyFill="1" applyAlignment="1" applyProtection="1">
      <alignment horizontal="center"/>
      <protection hidden="1"/>
    </xf>
    <xf numFmtId="0" fontId="19" fillId="27" borderId="0" xfId="65" applyFont="1" applyFill="1" applyAlignment="1" applyProtection="1">
      <alignment vertical="center" wrapText="1"/>
      <protection hidden="1"/>
    </xf>
    <xf numFmtId="0" fontId="18" fillId="0" borderId="0" xfId="85" applyBorder="1">
      <alignment/>
      <protection/>
    </xf>
    <xf numFmtId="0" fontId="27" fillId="24" borderId="0" xfId="85" applyFont="1" applyFill="1" applyBorder="1" applyAlignment="1">
      <alignment horizontal="center"/>
      <protection/>
    </xf>
    <xf numFmtId="182" fontId="27" fillId="27" borderId="0" xfId="85" applyNumberFormat="1" applyFont="1" applyFill="1" applyBorder="1" applyAlignment="1" applyProtection="1">
      <alignment horizontal="left"/>
      <protection hidden="1"/>
    </xf>
    <xf numFmtId="0" fontId="18" fillId="27" borderId="0" xfId="85" applyFill="1" applyBorder="1" applyProtection="1">
      <alignment/>
      <protection hidden="1"/>
    </xf>
    <xf numFmtId="0" fontId="88" fillId="24" borderId="0" xfId="77" applyFont="1" applyFill="1" applyBorder="1" applyProtection="1">
      <alignment/>
      <protection hidden="1"/>
    </xf>
    <xf numFmtId="0" fontId="3" fillId="27" borderId="0" xfId="85" applyFont="1" applyFill="1" applyAlignment="1">
      <alignment horizontal="left" vertical="center"/>
      <protection/>
    </xf>
    <xf numFmtId="0" fontId="3" fillId="27" borderId="0" xfId="0" applyFont="1" applyFill="1" applyAlignment="1">
      <alignment horizontal="left" vertical="center"/>
    </xf>
    <xf numFmtId="0" fontId="18" fillId="24" borderId="20" xfId="84" applyFont="1" applyFill="1" applyBorder="1" applyProtection="1">
      <alignment/>
      <protection hidden="1"/>
    </xf>
    <xf numFmtId="183" fontId="18" fillId="24" borderId="20" xfId="84" applyNumberFormat="1" applyFont="1" applyFill="1" applyBorder="1" applyProtection="1">
      <alignment/>
      <protection hidden="1"/>
    </xf>
    <xf numFmtId="0" fontId="21" fillId="27" borderId="0" xfId="85" applyFont="1" applyFill="1" applyAlignment="1" applyProtection="1">
      <alignment horizontal="right"/>
      <protection hidden="1"/>
    </xf>
    <xf numFmtId="2" fontId="21" fillId="27" borderId="0" xfId="85" applyNumberFormat="1" applyFont="1" applyFill="1" applyAlignment="1" applyProtection="1">
      <alignment horizontal="right"/>
      <protection hidden="1"/>
    </xf>
    <xf numFmtId="0" fontId="13" fillId="27" borderId="0" xfId="85" applyFont="1" applyFill="1" applyProtection="1">
      <alignment/>
      <protection hidden="1"/>
    </xf>
    <xf numFmtId="0" fontId="3" fillId="22" borderId="19" xfId="85" applyNumberFormat="1" applyFont="1" applyFill="1" applyBorder="1" applyProtection="1">
      <alignment/>
      <protection locked="0"/>
    </xf>
    <xf numFmtId="0" fontId="3" fillId="22" borderId="0" xfId="85" applyNumberFormat="1" applyFont="1" applyFill="1" applyBorder="1" applyProtection="1">
      <alignment/>
      <protection locked="0"/>
    </xf>
    <xf numFmtId="0" fontId="3" fillId="27" borderId="0" xfId="85" applyNumberFormat="1" applyFont="1" applyFill="1" applyBorder="1" applyProtection="1">
      <alignment/>
      <protection hidden="1"/>
    </xf>
    <xf numFmtId="0" fontId="3" fillId="27" borderId="17" xfId="85" applyNumberFormat="1" applyFont="1" applyFill="1" applyBorder="1" applyProtection="1">
      <alignment/>
      <protection hidden="1"/>
    </xf>
    <xf numFmtId="0" fontId="18" fillId="24" borderId="22" xfId="96" applyFont="1" applyFill="1" applyBorder="1" applyAlignment="1" applyProtection="1">
      <alignment horizontal="center" wrapText="1"/>
      <protection hidden="1"/>
    </xf>
    <xf numFmtId="0" fontId="18" fillId="22" borderId="20" xfId="84" applyNumberFormat="1" applyFont="1" applyFill="1" applyBorder="1" applyAlignment="1" applyProtection="1">
      <alignment horizontal="center" wrapText="1"/>
      <protection locked="0"/>
    </xf>
    <xf numFmtId="188" fontId="18" fillId="24" borderId="15" xfId="84" applyNumberFormat="1" applyFont="1" applyFill="1" applyBorder="1" applyAlignment="1">
      <alignment horizontal="center" vertical="center" wrapText="1"/>
      <protection/>
    </xf>
    <xf numFmtId="188" fontId="18" fillId="24" borderId="20" xfId="84" applyNumberFormat="1" applyFont="1" applyFill="1" applyBorder="1" applyAlignment="1">
      <alignment horizontal="center" vertical="center" wrapText="1"/>
      <protection/>
    </xf>
    <xf numFmtId="0" fontId="18" fillId="22" borderId="12" xfId="84" applyNumberFormat="1" applyFont="1" applyFill="1" applyBorder="1" applyAlignment="1" applyProtection="1">
      <alignment horizontal="center"/>
      <protection locked="0"/>
    </xf>
    <xf numFmtId="182" fontId="18" fillId="24" borderId="12" xfId="0" applyNumberFormat="1" applyFont="1" applyFill="1" applyBorder="1" applyAlignment="1" applyProtection="1">
      <alignment horizontal="center"/>
      <protection hidden="1"/>
    </xf>
    <xf numFmtId="182" fontId="25" fillId="24" borderId="12" xfId="96" applyNumberFormat="1" applyFont="1" applyFill="1" applyBorder="1" applyAlignment="1" applyProtection="1">
      <alignment horizontal="center" wrapText="1"/>
      <protection hidden="1"/>
    </xf>
    <xf numFmtId="182" fontId="25" fillId="24" borderId="14" xfId="96" applyNumberFormat="1" applyFont="1" applyFill="1" applyBorder="1" applyAlignment="1" applyProtection="1">
      <alignment horizontal="center" wrapText="1"/>
      <protection hidden="1"/>
    </xf>
    <xf numFmtId="0" fontId="0" fillId="27" borderId="0" xfId="0" applyFont="1" applyFill="1" applyAlignment="1" applyProtection="1">
      <alignment/>
      <protection hidden="1"/>
    </xf>
    <xf numFmtId="0" fontId="0" fillId="0" borderId="0" xfId="77" applyProtection="1">
      <alignment/>
      <protection hidden="1"/>
    </xf>
    <xf numFmtId="0" fontId="18" fillId="0" borderId="0" xfId="85" applyBorder="1" applyProtection="1">
      <alignment/>
      <protection hidden="1"/>
    </xf>
    <xf numFmtId="0" fontId="27" fillId="24" borderId="0" xfId="85" applyFont="1" applyFill="1" applyBorder="1" applyAlignment="1" applyProtection="1">
      <alignment horizontal="center"/>
      <protection hidden="1"/>
    </xf>
    <xf numFmtId="0" fontId="0" fillId="0" borderId="0" xfId="0" applyFont="1" applyBorder="1" applyAlignment="1" applyProtection="1">
      <alignment/>
      <protection hidden="1"/>
    </xf>
    <xf numFmtId="0" fontId="15" fillId="0" borderId="0" xfId="85" applyFont="1" applyBorder="1" applyProtection="1">
      <alignment/>
      <protection hidden="1"/>
    </xf>
    <xf numFmtId="0" fontId="17" fillId="0" borderId="0" xfId="67" applyFont="1" applyBorder="1" applyAlignment="1" applyProtection="1">
      <alignment horizontal="left" vertical="top"/>
      <protection hidden="1"/>
    </xf>
    <xf numFmtId="0" fontId="0" fillId="27" borderId="0" xfId="0" applyFont="1" applyFill="1" applyBorder="1" applyAlignment="1" applyProtection="1">
      <alignment/>
      <protection hidden="1"/>
    </xf>
    <xf numFmtId="187" fontId="18" fillId="0" borderId="0" xfId="77" applyNumberFormat="1" applyFont="1" applyBorder="1" applyProtection="1">
      <alignment/>
      <protection hidden="1"/>
    </xf>
    <xf numFmtId="0" fontId="18" fillId="0" borderId="0" xfId="77" applyFont="1" applyBorder="1" applyProtection="1">
      <alignment/>
      <protection hidden="1"/>
    </xf>
    <xf numFmtId="0" fontId="3" fillId="0" borderId="12" xfId="83" applyFont="1" applyBorder="1" applyAlignment="1" applyProtection="1">
      <alignment horizontal="center"/>
      <protection hidden="1"/>
    </xf>
    <xf numFmtId="0" fontId="3" fillId="0" borderId="15" xfId="83" applyFont="1" applyBorder="1" applyAlignment="1" applyProtection="1">
      <alignment horizontal="center"/>
      <protection hidden="1"/>
    </xf>
    <xf numFmtId="0" fontId="3" fillId="22" borderId="10" xfId="85" applyNumberFormat="1" applyFont="1" applyFill="1" applyBorder="1" applyAlignment="1" applyProtection="1">
      <alignment horizontal="center"/>
      <protection locked="0"/>
    </xf>
    <xf numFmtId="0" fontId="13" fillId="24" borderId="0" xfId="0" applyFont="1" applyFill="1" applyAlignment="1" applyProtection="1">
      <alignment/>
      <protection hidden="1"/>
    </xf>
    <xf numFmtId="0" fontId="0" fillId="24" borderId="0" xfId="0" applyFont="1" applyFill="1" applyBorder="1" applyAlignment="1" applyProtection="1">
      <alignment/>
      <protection hidden="1"/>
    </xf>
    <xf numFmtId="0" fontId="24" fillId="0" borderId="0" xfId="85" applyFont="1" applyAlignment="1" applyProtection="1">
      <alignment horizontal="left"/>
      <protection hidden="1"/>
    </xf>
    <xf numFmtId="0" fontId="27" fillId="0" borderId="0" xfId="85" applyFont="1" applyAlignment="1" applyProtection="1">
      <alignment horizontal="left"/>
      <protection hidden="1"/>
    </xf>
    <xf numFmtId="0" fontId="3" fillId="27" borderId="0" xfId="0" applyFont="1" applyFill="1" applyAlignment="1" applyProtection="1">
      <alignment/>
      <protection hidden="1"/>
    </xf>
    <xf numFmtId="0" fontId="3" fillId="4" borderId="0" xfId="85" applyFont="1" applyFill="1" applyBorder="1" applyProtection="1">
      <alignment/>
      <protection hidden="1"/>
    </xf>
    <xf numFmtId="0" fontId="3" fillId="24" borderId="0" xfId="85" applyFont="1" applyFill="1" applyBorder="1" applyAlignment="1" applyProtection="1">
      <alignment horizontal="left"/>
      <protection hidden="1"/>
    </xf>
    <xf numFmtId="0" fontId="3" fillId="24" borderId="0" xfId="83" applyFont="1" applyFill="1" applyProtection="1">
      <alignment/>
      <protection hidden="1"/>
    </xf>
    <xf numFmtId="0" fontId="5" fillId="27" borderId="0" xfId="85" applyFont="1" applyFill="1" applyAlignment="1" applyProtection="1">
      <alignment horizontal="left"/>
      <protection hidden="1"/>
    </xf>
    <xf numFmtId="0" fontId="11" fillId="27" borderId="0" xfId="65" applyFont="1" applyFill="1" applyAlignment="1" applyProtection="1">
      <alignment horizontal="right"/>
      <protection hidden="1"/>
    </xf>
    <xf numFmtId="0" fontId="30" fillId="27" borderId="0" xfId="85" applyFont="1" applyFill="1" applyAlignment="1" applyProtection="1">
      <alignment horizontal="left"/>
      <protection hidden="1"/>
    </xf>
    <xf numFmtId="0" fontId="30" fillId="27" borderId="0" xfId="85" applyFont="1" applyFill="1" applyBorder="1" applyAlignment="1" applyProtection="1">
      <alignment horizontal="right"/>
      <protection hidden="1"/>
    </xf>
    <xf numFmtId="0" fontId="20" fillId="27" borderId="0" xfId="0" applyFont="1" applyFill="1" applyBorder="1" applyAlignment="1" applyProtection="1">
      <alignment/>
      <protection hidden="1"/>
    </xf>
    <xf numFmtId="0" fontId="20" fillId="27" borderId="0" xfId="0" applyFont="1" applyFill="1" applyAlignment="1" applyProtection="1">
      <alignment/>
      <protection hidden="1"/>
    </xf>
    <xf numFmtId="9" fontId="0" fillId="27" borderId="0" xfId="100" applyFill="1" applyProtection="1">
      <alignment/>
      <protection hidden="1"/>
    </xf>
    <xf numFmtId="0" fontId="0" fillId="0" borderId="0" xfId="0" applyAlignment="1" applyProtection="1">
      <alignment/>
      <protection hidden="1"/>
    </xf>
    <xf numFmtId="0" fontId="15" fillId="27" borderId="0" xfId="85" applyFont="1" applyFill="1" applyAlignment="1" applyProtection="1">
      <alignment vertical="center" wrapText="1"/>
      <protection hidden="1"/>
    </xf>
    <xf numFmtId="0" fontId="0" fillId="27" borderId="0" xfId="0" applyFont="1" applyFill="1" applyAlignment="1" applyProtection="1">
      <alignment horizontal="left"/>
      <protection hidden="1"/>
    </xf>
    <xf numFmtId="0" fontId="20" fillId="27" borderId="0" xfId="0" applyFont="1" applyFill="1" applyAlignment="1" applyProtection="1">
      <alignment/>
      <protection hidden="1"/>
    </xf>
    <xf numFmtId="2" fontId="20" fillId="27" borderId="0" xfId="0" applyNumberFormat="1" applyFont="1" applyFill="1" applyAlignment="1" applyProtection="1">
      <alignment/>
      <protection hidden="1"/>
    </xf>
    <xf numFmtId="0" fontId="20" fillId="27" borderId="0" xfId="85" applyFont="1" applyFill="1" applyProtection="1">
      <alignment/>
      <protection hidden="1"/>
    </xf>
    <xf numFmtId="0" fontId="18" fillId="27" borderId="10" xfId="85" applyFont="1" applyFill="1" applyBorder="1" applyAlignment="1" applyProtection="1">
      <alignment horizontal="center"/>
      <protection hidden="1"/>
    </xf>
    <xf numFmtId="0" fontId="122" fillId="0" borderId="0" xfId="65" applyFont="1" applyAlignment="1" applyProtection="1">
      <alignment horizontal="right"/>
      <protection hidden="1"/>
    </xf>
    <xf numFmtId="0" fontId="0" fillId="0" borderId="0" xfId="85" applyFont="1" applyProtection="1">
      <alignment/>
      <protection hidden="1"/>
    </xf>
    <xf numFmtId="0" fontId="35" fillId="24" borderId="0" xfId="85" applyFont="1" applyFill="1" applyAlignment="1" applyProtection="1">
      <alignment horizontal="right"/>
      <protection hidden="1"/>
    </xf>
    <xf numFmtId="0" fontId="18" fillId="24" borderId="0" xfId="85" applyFill="1" applyAlignment="1" applyProtection="1">
      <alignment horizontal="left"/>
      <protection hidden="1"/>
    </xf>
    <xf numFmtId="0" fontId="0" fillId="0" borderId="0" xfId="0" applyFont="1" applyAlignment="1" applyProtection="1">
      <alignment/>
      <protection hidden="1"/>
    </xf>
    <xf numFmtId="0" fontId="29" fillId="0" borderId="0" xfId="65" applyFont="1" applyAlignment="1" applyProtection="1">
      <alignment/>
      <protection hidden="1"/>
    </xf>
    <xf numFmtId="0" fontId="29" fillId="27" borderId="0" xfId="65" applyFont="1" applyFill="1" applyAlignment="1" applyProtection="1">
      <alignment/>
      <protection hidden="1"/>
    </xf>
    <xf numFmtId="0" fontId="67" fillId="20" borderId="15" xfId="85" applyFont="1" applyFill="1" applyBorder="1" applyProtection="1">
      <alignment/>
      <protection hidden="1"/>
    </xf>
    <xf numFmtId="0" fontId="18" fillId="24" borderId="0" xfId="85" applyFill="1" applyBorder="1" applyAlignment="1" applyProtection="1">
      <alignment horizontal="center"/>
      <protection hidden="1"/>
    </xf>
    <xf numFmtId="0" fontId="18" fillId="24" borderId="23" xfId="85" applyFill="1" applyBorder="1" applyAlignment="1" applyProtection="1">
      <alignment horizontal="center"/>
      <protection hidden="1"/>
    </xf>
    <xf numFmtId="0" fontId="18" fillId="24" borderId="14" xfId="85" applyFill="1" applyBorder="1" applyProtection="1">
      <alignment/>
      <protection hidden="1"/>
    </xf>
    <xf numFmtId="182" fontId="18" fillId="29" borderId="46" xfId="85" applyNumberFormat="1" applyFont="1" applyFill="1" applyBorder="1" applyAlignment="1" applyProtection="1">
      <alignment horizontal="center"/>
      <protection hidden="1"/>
    </xf>
    <xf numFmtId="0" fontId="18" fillId="22" borderId="22" xfId="85" applyFill="1" applyBorder="1" applyAlignment="1" applyProtection="1">
      <alignment horizontal="center"/>
      <protection locked="0"/>
    </xf>
    <xf numFmtId="0" fontId="18" fillId="24" borderId="20" xfId="85" applyFont="1" applyFill="1" applyBorder="1" applyAlignment="1" applyProtection="1">
      <alignment vertical="top"/>
      <protection hidden="1"/>
    </xf>
    <xf numFmtId="0" fontId="18" fillId="24" borderId="16" xfId="85" applyFill="1" applyBorder="1" applyAlignment="1" applyProtection="1">
      <alignment horizontal="center"/>
      <protection hidden="1"/>
    </xf>
    <xf numFmtId="0" fontId="18" fillId="24" borderId="15" xfId="85" applyFill="1" applyBorder="1" applyAlignment="1">
      <alignment horizontal="center"/>
      <protection/>
    </xf>
    <xf numFmtId="0" fontId="67" fillId="20" borderId="10" xfId="85" applyFont="1" applyFill="1" applyBorder="1" applyAlignment="1" applyProtection="1">
      <alignment vertical="top"/>
      <protection hidden="1"/>
    </xf>
    <xf numFmtId="0" fontId="18" fillId="24" borderId="15" xfId="85" applyFont="1" applyFill="1" applyBorder="1" applyAlignment="1" applyProtection="1">
      <alignment vertical="top"/>
      <protection hidden="1"/>
    </xf>
    <xf numFmtId="0" fontId="19" fillId="24" borderId="0" xfId="65" applyNumberFormat="1" applyFont="1" applyFill="1" applyAlignment="1" applyProtection="1">
      <alignment/>
      <protection hidden="1"/>
    </xf>
    <xf numFmtId="0" fontId="3" fillId="0" borderId="12" xfId="85" applyFont="1" applyBorder="1" applyProtection="1">
      <alignment/>
      <protection/>
    </xf>
    <xf numFmtId="0" fontId="3" fillId="0" borderId="18" xfId="85" applyFont="1" applyBorder="1" applyProtection="1">
      <alignment/>
      <protection/>
    </xf>
    <xf numFmtId="0" fontId="3" fillId="0" borderId="27" xfId="85" applyFont="1" applyBorder="1" applyProtection="1">
      <alignment/>
      <protection/>
    </xf>
    <xf numFmtId="0" fontId="3" fillId="0" borderId="14" xfId="85" applyFont="1" applyBorder="1" applyProtection="1">
      <alignment/>
      <protection/>
    </xf>
    <xf numFmtId="0" fontId="3" fillId="0" borderId="21" xfId="85" applyFont="1" applyBorder="1" applyProtection="1">
      <alignment/>
      <protection/>
    </xf>
    <xf numFmtId="0" fontId="18" fillId="0" borderId="0" xfId="0" applyFont="1" applyAlignment="1">
      <alignment horizontal="right"/>
    </xf>
    <xf numFmtId="0" fontId="18" fillId="22" borderId="0" xfId="84" applyNumberFormat="1" applyFont="1" applyFill="1" applyProtection="1">
      <alignment/>
      <protection locked="0"/>
    </xf>
    <xf numFmtId="0" fontId="18" fillId="27" borderId="0" xfId="85" applyFont="1" applyFill="1" applyBorder="1" applyAlignment="1" applyProtection="1">
      <alignment horizontal="left"/>
      <protection hidden="1"/>
    </xf>
    <xf numFmtId="0" fontId="125" fillId="0" borderId="0" xfId="80" applyFont="1">
      <alignment/>
      <protection/>
    </xf>
    <xf numFmtId="14" fontId="127" fillId="27" borderId="0" xfId="80" applyNumberFormat="1" applyFont="1" applyFill="1" applyAlignment="1" applyProtection="1">
      <alignment horizontal="left"/>
      <protection hidden="1"/>
    </xf>
    <xf numFmtId="0" fontId="1" fillId="27" borderId="0" xfId="95" applyFont="1" applyFill="1" applyProtection="1">
      <alignment/>
      <protection hidden="1"/>
    </xf>
    <xf numFmtId="0" fontId="128" fillId="27" borderId="0" xfId="80" applyFont="1" applyFill="1" applyAlignment="1" applyProtection="1">
      <alignment/>
      <protection hidden="1"/>
    </xf>
    <xf numFmtId="49" fontId="129" fillId="27" borderId="0" xfId="91" applyNumberFormat="1" applyFont="1" applyFill="1" applyBorder="1" applyAlignment="1" applyProtection="1">
      <alignment/>
      <protection hidden="1"/>
    </xf>
    <xf numFmtId="0" fontId="125" fillId="27" borderId="10" xfId="80" applyFont="1" applyFill="1" applyBorder="1" applyAlignment="1" applyProtection="1">
      <alignment vertical="center" wrapText="1"/>
      <protection hidden="1"/>
    </xf>
    <xf numFmtId="0" fontId="125" fillId="27" borderId="10" xfId="80" applyFont="1" applyFill="1" applyBorder="1" applyAlignment="1" applyProtection="1">
      <alignment horizontal="center" vertical="center" wrapText="1"/>
      <protection hidden="1"/>
    </xf>
    <xf numFmtId="0" fontId="125" fillId="27" borderId="10" xfId="80" applyFont="1" applyFill="1" applyBorder="1" applyAlignment="1" applyProtection="1">
      <alignment/>
      <protection hidden="1"/>
    </xf>
    <xf numFmtId="0" fontId="125" fillId="27" borderId="10" xfId="80" applyFont="1" applyFill="1" applyBorder="1" applyAlignment="1" applyProtection="1">
      <alignment horizontal="center"/>
      <protection hidden="1"/>
    </xf>
    <xf numFmtId="0" fontId="130" fillId="27" borderId="0" xfId="80" applyFont="1" applyFill="1" applyProtection="1">
      <alignment/>
      <protection hidden="1"/>
    </xf>
    <xf numFmtId="0" fontId="125" fillId="27" borderId="0" xfId="80" applyFont="1" applyFill="1" applyProtection="1">
      <alignment/>
      <protection hidden="1"/>
    </xf>
    <xf numFmtId="0" fontId="125" fillId="7" borderId="10" xfId="91" applyFont="1" applyFill="1" applyBorder="1" applyProtection="1">
      <alignment/>
      <protection hidden="1"/>
    </xf>
    <xf numFmtId="0" fontId="125" fillId="27" borderId="0" xfId="91" applyFont="1" applyFill="1" applyBorder="1" applyProtection="1">
      <alignment/>
      <protection hidden="1"/>
    </xf>
    <xf numFmtId="0" fontId="129" fillId="27" borderId="0" xfId="80" applyNumberFormat="1" applyFont="1" applyFill="1" applyBorder="1" applyAlignment="1" applyProtection="1">
      <alignment wrapText="1"/>
      <protection hidden="1"/>
    </xf>
    <xf numFmtId="11" fontId="125" fillId="27" borderId="0" xfId="80" applyNumberFormat="1" applyFont="1" applyFill="1" applyProtection="1">
      <alignment/>
      <protection hidden="1"/>
    </xf>
    <xf numFmtId="2" fontId="125" fillId="7" borderId="0" xfId="80" applyNumberFormat="1" applyFont="1" applyFill="1" applyProtection="1">
      <alignment/>
      <protection hidden="1"/>
    </xf>
    <xf numFmtId="0" fontId="130" fillId="27" borderId="0" xfId="80" applyFont="1" applyFill="1" applyBorder="1" applyProtection="1">
      <alignment/>
      <protection hidden="1"/>
    </xf>
    <xf numFmtId="1" fontId="125" fillId="27" borderId="0" xfId="80" applyNumberFormat="1" applyFont="1" applyFill="1" applyProtection="1">
      <alignment/>
      <protection hidden="1"/>
    </xf>
    <xf numFmtId="182" fontId="125" fillId="7" borderId="0" xfId="80" applyNumberFormat="1" applyFont="1" applyFill="1" applyProtection="1">
      <alignment/>
      <protection hidden="1"/>
    </xf>
    <xf numFmtId="0" fontId="125" fillId="27" borderId="0" xfId="0" applyFont="1" applyFill="1" applyAlignment="1" applyProtection="1">
      <alignment/>
      <protection hidden="1"/>
    </xf>
    <xf numFmtId="14" fontId="132" fillId="27" borderId="0" xfId="0" applyNumberFormat="1" applyFont="1" applyFill="1" applyAlignment="1" applyProtection="1">
      <alignment horizontal="left"/>
      <protection hidden="1"/>
    </xf>
    <xf numFmtId="0" fontId="133" fillId="27" borderId="0" xfId="95" applyFont="1" applyFill="1" applyProtection="1">
      <alignment/>
      <protection hidden="1"/>
    </xf>
    <xf numFmtId="0" fontId="134" fillId="27" borderId="0" xfId="0" applyFont="1" applyFill="1" applyAlignment="1" applyProtection="1">
      <alignment horizontal="right"/>
      <protection hidden="1"/>
    </xf>
    <xf numFmtId="0" fontId="129" fillId="27" borderId="0" xfId="0" applyFont="1" applyFill="1" applyAlignment="1" applyProtection="1">
      <alignment/>
      <protection hidden="1"/>
    </xf>
    <xf numFmtId="0" fontId="69" fillId="27" borderId="0" xfId="65" applyFont="1" applyFill="1" applyBorder="1" applyAlignment="1" applyProtection="1">
      <alignment/>
      <protection hidden="1"/>
    </xf>
    <xf numFmtId="0" fontId="27" fillId="27" borderId="0" xfId="85" applyFont="1" applyFill="1" applyAlignment="1" applyProtection="1">
      <alignment horizontal="left"/>
      <protection hidden="1"/>
    </xf>
    <xf numFmtId="0" fontId="69" fillId="27" borderId="0" xfId="65" applyFont="1" applyFill="1" applyAlignment="1" applyProtection="1">
      <alignment horizontal="left"/>
      <protection hidden="1"/>
    </xf>
    <xf numFmtId="189" fontId="125" fillId="0" borderId="0" xfId="80" applyNumberFormat="1" applyFont="1" applyProtection="1">
      <alignment/>
      <protection hidden="1"/>
    </xf>
    <xf numFmtId="0" fontId="125" fillId="0" borderId="0" xfId="80" applyFont="1" applyProtection="1">
      <alignment/>
      <protection hidden="1"/>
    </xf>
    <xf numFmtId="2" fontId="125" fillId="27" borderId="0" xfId="80" applyNumberFormat="1" applyFont="1" applyFill="1" applyProtection="1">
      <alignment/>
      <protection hidden="1"/>
    </xf>
    <xf numFmtId="2" fontId="125" fillId="0" borderId="0" xfId="80" applyNumberFormat="1" applyFont="1" applyProtection="1">
      <alignment/>
      <protection hidden="1"/>
    </xf>
    <xf numFmtId="0" fontId="125" fillId="27" borderId="0" xfId="80" applyFont="1" applyFill="1" applyBorder="1" applyAlignment="1" applyProtection="1">
      <alignment vertical="top" wrapText="1"/>
      <protection hidden="1"/>
    </xf>
    <xf numFmtId="0" fontId="2" fillId="24" borderId="0" xfId="0" applyFont="1" applyFill="1" applyBorder="1" applyAlignment="1" applyProtection="1">
      <alignment/>
      <protection hidden="1"/>
    </xf>
    <xf numFmtId="0" fontId="101" fillId="24" borderId="0" xfId="69" applyFont="1" applyFill="1" applyBorder="1" applyAlignment="1" applyProtection="1">
      <alignment horizontal="right"/>
      <protection hidden="1"/>
    </xf>
    <xf numFmtId="0" fontId="101" fillId="27" borderId="0" xfId="69" applyFont="1" applyFill="1" applyBorder="1" applyAlignment="1" applyProtection="1">
      <alignment/>
      <protection hidden="1"/>
    </xf>
    <xf numFmtId="0" fontId="34" fillId="24" borderId="47" xfId="0" applyFont="1" applyFill="1" applyBorder="1" applyAlignment="1" applyProtection="1">
      <alignment horizontal="right" wrapText="1"/>
      <protection hidden="1"/>
    </xf>
    <xf numFmtId="0" fontId="101" fillId="27" borderId="0" xfId="65" applyFont="1" applyFill="1" applyAlignment="1" applyProtection="1">
      <alignment/>
      <protection hidden="1"/>
    </xf>
    <xf numFmtId="0" fontId="2" fillId="27" borderId="0" xfId="93" applyFont="1" applyFill="1" applyBorder="1" applyAlignment="1" applyProtection="1">
      <alignment/>
      <protection hidden="1"/>
    </xf>
    <xf numFmtId="0" fontId="102" fillId="24" borderId="0" xfId="69" applyFont="1" applyFill="1" applyBorder="1" applyAlignment="1" applyProtection="1">
      <alignment horizontal="left"/>
      <protection hidden="1"/>
    </xf>
    <xf numFmtId="0" fontId="32" fillId="24" borderId="0" xfId="0" applyFont="1" applyFill="1" applyBorder="1" applyAlignment="1" applyProtection="1">
      <alignment horizontal="center"/>
      <protection hidden="1"/>
    </xf>
    <xf numFmtId="0" fontId="2" fillId="24" borderId="0" xfId="0" applyFont="1" applyFill="1" applyBorder="1" applyAlignment="1" applyProtection="1">
      <alignment horizontal="center"/>
      <protection hidden="1"/>
    </xf>
    <xf numFmtId="0" fontId="2" fillId="24" borderId="0" xfId="0" applyFont="1" applyFill="1" applyBorder="1" applyAlignment="1" applyProtection="1">
      <alignment horizontal="left"/>
      <protection hidden="1"/>
    </xf>
    <xf numFmtId="0" fontId="41" fillId="24" borderId="0" xfId="0" applyFont="1" applyFill="1" applyBorder="1" applyAlignment="1" applyProtection="1">
      <alignment horizontal="left" wrapText="1"/>
      <protection hidden="1"/>
    </xf>
    <xf numFmtId="0" fontId="34" fillId="24" borderId="0" xfId="0" applyFont="1" applyFill="1" applyBorder="1" applyAlignment="1" applyProtection="1">
      <alignment horizontal="left" wrapText="1"/>
      <protection hidden="1"/>
    </xf>
    <xf numFmtId="0" fontId="2" fillId="27" borderId="0" xfId="93" applyFont="1" applyFill="1" applyAlignment="1" applyProtection="1">
      <alignment/>
      <protection hidden="1"/>
    </xf>
    <xf numFmtId="2" fontId="125" fillId="7" borderId="0" xfId="80" applyNumberFormat="1" applyFont="1" applyFill="1" applyAlignment="1" applyProtection="1">
      <alignment horizontal="right"/>
      <protection hidden="1"/>
    </xf>
    <xf numFmtId="0" fontId="125" fillId="22" borderId="10" xfId="90" applyFont="1" applyFill="1" applyBorder="1" applyProtection="1">
      <alignment/>
      <protection hidden="1"/>
    </xf>
    <xf numFmtId="0" fontId="125" fillId="22" borderId="0" xfId="80" applyFont="1" applyFill="1" applyProtection="1">
      <alignment/>
      <protection locked="0"/>
    </xf>
    <xf numFmtId="0" fontId="21" fillId="19" borderId="0" xfId="85" applyFont="1" applyFill="1" applyProtection="1">
      <alignment/>
      <protection locked="0"/>
    </xf>
    <xf numFmtId="0" fontId="18" fillId="0" borderId="0" xfId="83" applyFont="1" applyProtection="1">
      <alignment/>
      <protection locked="0"/>
    </xf>
    <xf numFmtId="0" fontId="25" fillId="0" borderId="0" xfId="85" applyFont="1" applyAlignment="1" applyProtection="1">
      <alignment horizontal="center"/>
      <protection locked="0"/>
    </xf>
    <xf numFmtId="0" fontId="100" fillId="28" borderId="48" xfId="93" applyFont="1" applyFill="1" applyBorder="1" applyAlignment="1" applyProtection="1">
      <alignment horizontal="center"/>
      <protection hidden="1"/>
    </xf>
    <xf numFmtId="0" fontId="117" fillId="27" borderId="0" xfId="93" applyFont="1" applyFill="1" applyBorder="1" applyAlignment="1">
      <alignment horizontal="left" vertical="center" textRotation="90"/>
      <protection/>
    </xf>
    <xf numFmtId="0" fontId="117" fillId="27" borderId="0" xfId="93" applyFont="1" applyFill="1" applyBorder="1" applyAlignment="1">
      <alignment horizontal="left" textRotation="90"/>
      <protection/>
    </xf>
    <xf numFmtId="0" fontId="10" fillId="0" borderId="0" xfId="93" applyFont="1">
      <alignment/>
      <protection/>
    </xf>
    <xf numFmtId="0" fontId="32" fillId="27" borderId="0" xfId="86" applyFont="1" applyFill="1" applyAlignment="1">
      <alignment horizontal="right"/>
      <protection/>
    </xf>
    <xf numFmtId="0" fontId="18" fillId="0" borderId="10" xfId="0" applyFont="1" applyBorder="1" applyAlignment="1">
      <alignment horizontal="center"/>
    </xf>
    <xf numFmtId="0" fontId="79" fillId="0" borderId="0" xfId="85" applyFont="1" applyAlignment="1" applyProtection="1">
      <alignment horizontal="center" wrapText="1"/>
      <protection hidden="1"/>
    </xf>
    <xf numFmtId="0" fontId="76" fillId="0" borderId="0" xfId="85" applyFont="1" applyFill="1" applyBorder="1" applyAlignment="1" applyProtection="1">
      <alignment horizontal="center" wrapText="1"/>
      <protection hidden="1"/>
    </xf>
    <xf numFmtId="0" fontId="76" fillId="0" borderId="0" xfId="85" applyFont="1" applyAlignment="1" applyProtection="1">
      <alignment horizontal="center" wrapText="1"/>
      <protection hidden="1"/>
    </xf>
    <xf numFmtId="0" fontId="13" fillId="0" borderId="0" xfId="0" applyFont="1" applyAlignment="1">
      <alignment/>
    </xf>
    <xf numFmtId="0" fontId="13" fillId="27" borderId="0" xfId="0" applyFont="1" applyFill="1" applyAlignment="1">
      <alignment/>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0" fillId="22" borderId="0" xfId="0" applyFont="1" applyFill="1" applyAlignment="1" applyProtection="1">
      <alignment/>
      <protection hidden="1"/>
    </xf>
    <xf numFmtId="0" fontId="86" fillId="22" borderId="0" xfId="85" applyFont="1" applyFill="1" applyAlignment="1" applyProtection="1">
      <alignment horizontal="center" wrapText="1"/>
      <protection hidden="1"/>
    </xf>
    <xf numFmtId="0" fontId="86" fillId="27" borderId="0" xfId="85" applyFont="1" applyFill="1" applyAlignment="1" applyProtection="1">
      <alignment horizontal="center" wrapText="1"/>
      <protection hidden="1"/>
    </xf>
    <xf numFmtId="0" fontId="102" fillId="27" borderId="0" xfId="69" applyFont="1" applyFill="1" applyBorder="1" applyAlignment="1" applyProtection="1">
      <alignment horizontal="left"/>
      <protection hidden="1"/>
    </xf>
    <xf numFmtId="0" fontId="20" fillId="27" borderId="0" xfId="0" applyFont="1" applyFill="1" applyAlignment="1">
      <alignment/>
    </xf>
    <xf numFmtId="0" fontId="84" fillId="27" borderId="0" xfId="85" applyFont="1" applyFill="1" applyAlignment="1" applyProtection="1">
      <alignment horizontal="center" wrapText="1"/>
      <protection hidden="1"/>
    </xf>
    <xf numFmtId="0" fontId="141" fillId="20" borderId="11" xfId="85" applyFont="1" applyFill="1" applyBorder="1" applyAlignment="1">
      <alignment vertical="center" wrapText="1"/>
      <protection/>
    </xf>
    <xf numFmtId="0" fontId="3" fillId="27" borderId="0" xfId="85" applyFont="1" applyFill="1" applyBorder="1" applyAlignment="1" applyProtection="1">
      <alignment horizontal="left" wrapText="1"/>
      <protection hidden="1"/>
    </xf>
    <xf numFmtId="182" fontId="18" fillId="27" borderId="0" xfId="85" applyNumberFormat="1" applyFont="1" applyFill="1" applyAlignment="1" applyProtection="1">
      <alignment horizontal="center"/>
      <protection hidden="1"/>
    </xf>
    <xf numFmtId="2" fontId="3" fillId="0" borderId="13" xfId="85" applyNumberFormat="1" applyFont="1" applyBorder="1" applyAlignment="1" applyProtection="1">
      <alignment horizontal="center"/>
      <protection hidden="1"/>
    </xf>
    <xf numFmtId="2" fontId="3" fillId="0" borderId="27" xfId="85" applyNumberFormat="1" applyFont="1" applyBorder="1" applyAlignment="1" applyProtection="1">
      <alignment horizontal="center"/>
      <protection hidden="1"/>
    </xf>
    <xf numFmtId="183" fontId="3" fillId="0" borderId="27" xfId="85" applyNumberFormat="1" applyFont="1" applyBorder="1" applyAlignment="1" applyProtection="1">
      <alignment horizontal="center"/>
      <protection hidden="1"/>
    </xf>
    <xf numFmtId="0" fontId="3" fillId="6" borderId="11" xfId="83" applyNumberFormat="1" applyFont="1" applyFill="1" applyBorder="1" applyAlignment="1" applyProtection="1">
      <alignment horizontal="center"/>
      <protection locked="0"/>
    </xf>
    <xf numFmtId="0" fontId="18" fillId="22" borderId="10" xfId="0" applyFont="1" applyFill="1" applyBorder="1" applyAlignment="1" applyProtection="1">
      <alignment horizontal="center"/>
      <protection locked="0"/>
    </xf>
    <xf numFmtId="9" fontId="95" fillId="22" borderId="13" xfId="85" applyNumberFormat="1" applyFont="1" applyFill="1" applyBorder="1" applyAlignment="1" applyProtection="1">
      <alignment horizontal="right"/>
      <protection locked="0"/>
    </xf>
    <xf numFmtId="9" fontId="95" fillId="22" borderId="13" xfId="85" applyNumberFormat="1" applyFont="1" applyFill="1" applyBorder="1" applyProtection="1">
      <alignment/>
      <protection locked="0"/>
    </xf>
    <xf numFmtId="9" fontId="96" fillId="22" borderId="14" xfId="85" applyNumberFormat="1" applyFont="1" applyFill="1" applyBorder="1" applyProtection="1">
      <alignment/>
      <protection locked="0"/>
    </xf>
    <xf numFmtId="0" fontId="25" fillId="0" borderId="0" xfId="85" applyFont="1" applyFill="1" applyProtection="1">
      <alignment/>
      <protection hidden="1"/>
    </xf>
    <xf numFmtId="0" fontId="0" fillId="22" borderId="0" xfId="0" applyFill="1" applyAlignment="1">
      <alignment/>
    </xf>
    <xf numFmtId="183" fontId="18" fillId="24" borderId="12" xfId="84" applyNumberFormat="1" applyFont="1" applyFill="1" applyBorder="1" applyAlignment="1" applyProtection="1">
      <alignment horizontal="center" vertical="center" wrapText="1"/>
      <protection hidden="1"/>
    </xf>
    <xf numFmtId="183" fontId="18" fillId="24" borderId="18" xfId="84" applyNumberFormat="1" applyFont="1" applyFill="1" applyBorder="1" applyAlignment="1" applyProtection="1">
      <alignment horizontal="center" vertical="center" wrapText="1"/>
      <protection hidden="1"/>
    </xf>
    <xf numFmtId="2" fontId="18" fillId="0" borderId="0" xfId="85" applyNumberFormat="1" applyFont="1" applyBorder="1" applyAlignment="1" applyProtection="1">
      <alignment horizontal="center"/>
      <protection hidden="1"/>
    </xf>
    <xf numFmtId="180" fontId="18" fillId="27" borderId="0" xfId="56" applyFont="1" applyFill="1" applyAlignment="1">
      <alignment horizontal="left" wrapText="1"/>
      <protection/>
    </xf>
    <xf numFmtId="0" fontId="18" fillId="24" borderId="14" xfId="85" applyFont="1" applyFill="1" applyBorder="1" applyAlignment="1" applyProtection="1">
      <alignment horizontal="left"/>
      <protection hidden="1"/>
    </xf>
    <xf numFmtId="0" fontId="15" fillId="27" borderId="27" xfId="85" applyFont="1" applyFill="1" applyBorder="1" applyAlignment="1" applyProtection="1">
      <alignment horizontal="right" wrapText="1"/>
      <protection hidden="1"/>
    </xf>
    <xf numFmtId="0" fontId="18" fillId="27" borderId="49" xfId="85" applyFont="1" applyFill="1" applyBorder="1" applyAlignment="1" applyProtection="1">
      <alignment/>
      <protection hidden="1"/>
    </xf>
    <xf numFmtId="0" fontId="18" fillId="24" borderId="11" xfId="85" applyFill="1" applyBorder="1" applyAlignment="1" applyProtection="1">
      <alignment horizontal="left"/>
      <protection hidden="1"/>
    </xf>
    <xf numFmtId="0" fontId="18" fillId="24" borderId="16" xfId="85" applyFill="1" applyBorder="1" applyAlignment="1" applyProtection="1">
      <alignment horizontal="left"/>
      <protection hidden="1"/>
    </xf>
    <xf numFmtId="0" fontId="92" fillId="24" borderId="0" xfId="85" applyFont="1" applyFill="1" applyAlignment="1" applyProtection="1">
      <alignment horizontal="center"/>
      <protection hidden="1"/>
    </xf>
    <xf numFmtId="0" fontId="37" fillId="10" borderId="0" xfId="85" applyFont="1" applyFill="1" applyBorder="1" applyAlignment="1" applyProtection="1">
      <alignment horizontal="center" wrapText="1"/>
      <protection hidden="1"/>
    </xf>
    <xf numFmtId="0" fontId="37" fillId="10" borderId="27" xfId="85" applyFont="1" applyFill="1" applyBorder="1" applyAlignment="1" applyProtection="1">
      <alignment horizontal="center" wrapText="1"/>
      <protection hidden="1"/>
    </xf>
    <xf numFmtId="0" fontId="4" fillId="24" borderId="0" xfId="0" applyFont="1" applyFill="1" applyAlignment="1" applyProtection="1">
      <alignment horizontal="right"/>
      <protection hidden="1"/>
    </xf>
    <xf numFmtId="0" fontId="17" fillId="24" borderId="0" xfId="65" applyFont="1" applyFill="1" applyAlignment="1" applyProtection="1">
      <alignment horizontal="right"/>
      <protection hidden="1"/>
    </xf>
    <xf numFmtId="0" fontId="18" fillId="27" borderId="13" xfId="85" applyFont="1" applyFill="1" applyBorder="1" applyAlignment="1" applyProtection="1">
      <alignment horizontal="left" vertical="top" wrapText="1"/>
      <protection hidden="1"/>
    </xf>
    <xf numFmtId="0" fontId="18" fillId="27" borderId="0" xfId="85" applyFont="1" applyFill="1" applyBorder="1" applyAlignment="1" applyProtection="1">
      <alignment horizontal="left" vertical="top" wrapText="1"/>
      <protection hidden="1"/>
    </xf>
    <xf numFmtId="0" fontId="27" fillId="27" borderId="0" xfId="85" applyFont="1" applyFill="1" applyBorder="1" applyAlignment="1">
      <alignment horizontal="right"/>
      <protection/>
    </xf>
    <xf numFmtId="0" fontId="15" fillId="27" borderId="0" xfId="85" applyFont="1" applyFill="1" applyAlignment="1" applyProtection="1">
      <alignment horizontal="right" wrapText="1"/>
      <protection hidden="1"/>
    </xf>
    <xf numFmtId="0" fontId="18" fillId="6" borderId="18" xfId="85" applyFill="1" applyBorder="1" applyAlignment="1" applyProtection="1">
      <alignment horizontal="center" wrapText="1"/>
      <protection hidden="1"/>
    </xf>
    <xf numFmtId="0" fontId="37" fillId="10" borderId="13" xfId="85" applyFont="1" applyFill="1" applyBorder="1" applyAlignment="1" applyProtection="1">
      <alignment horizontal="center" wrapText="1"/>
      <protection hidden="1"/>
    </xf>
    <xf numFmtId="0" fontId="18" fillId="6" borderId="12" xfId="85" applyFill="1" applyBorder="1" applyAlignment="1" applyProtection="1">
      <alignment horizontal="center" wrapText="1"/>
      <protection hidden="1"/>
    </xf>
    <xf numFmtId="0" fontId="18" fillId="6" borderId="19" xfId="85" applyFill="1" applyBorder="1" applyAlignment="1" applyProtection="1">
      <alignment horizontal="center" wrapText="1"/>
      <protection hidden="1"/>
    </xf>
    <xf numFmtId="0" fontId="18" fillId="11" borderId="27" xfId="85" applyFill="1" applyBorder="1" applyAlignment="1" applyProtection="1">
      <alignment horizontal="center" wrapText="1"/>
      <protection hidden="1"/>
    </xf>
    <xf numFmtId="0" fontId="39" fillId="17" borderId="14" xfId="85" applyFont="1" applyFill="1" applyBorder="1" applyAlignment="1" applyProtection="1">
      <alignment horizontal="center" wrapText="1"/>
      <protection hidden="1"/>
    </xf>
    <xf numFmtId="0" fontId="39" fillId="17" borderId="22" xfId="85" applyFont="1" applyFill="1" applyBorder="1" applyAlignment="1" applyProtection="1">
      <alignment horizontal="center" wrapText="1"/>
      <protection hidden="1"/>
    </xf>
    <xf numFmtId="0" fontId="39" fillId="17" borderId="21" xfId="85" applyFont="1" applyFill="1" applyBorder="1" applyAlignment="1" applyProtection="1">
      <alignment horizontal="center" wrapText="1"/>
      <protection hidden="1"/>
    </xf>
    <xf numFmtId="182" fontId="18" fillId="29" borderId="50" xfId="85" applyNumberFormat="1" applyFont="1" applyFill="1" applyBorder="1" applyAlignment="1" applyProtection="1">
      <alignment horizontal="center" wrapText="1"/>
      <protection hidden="1"/>
    </xf>
    <xf numFmtId="0" fontId="18" fillId="24" borderId="17" xfId="85" applyFill="1" applyBorder="1" applyAlignment="1" applyProtection="1">
      <alignment horizontal="center" wrapText="1"/>
      <protection hidden="1"/>
    </xf>
    <xf numFmtId="0" fontId="18" fillId="24" borderId="16" xfId="85" applyFill="1" applyBorder="1" applyAlignment="1" applyProtection="1">
      <alignment horizontal="center" wrapText="1"/>
      <protection hidden="1"/>
    </xf>
    <xf numFmtId="0" fontId="32" fillId="24" borderId="0" xfId="85" applyFont="1" applyFill="1" applyBorder="1" applyProtection="1">
      <alignment/>
      <protection hidden="1"/>
    </xf>
    <xf numFmtId="0" fontId="18" fillId="11" borderId="13" xfId="85" applyFill="1" applyBorder="1" applyAlignment="1" applyProtection="1">
      <alignment horizontal="center" wrapText="1"/>
      <protection hidden="1"/>
    </xf>
    <xf numFmtId="0" fontId="18" fillId="11" borderId="0" xfId="85" applyFill="1" applyBorder="1" applyAlignment="1" applyProtection="1">
      <alignment horizontal="center" wrapText="1"/>
      <protection hidden="1"/>
    </xf>
    <xf numFmtId="0" fontId="107" fillId="28" borderId="0" xfId="88" applyFont="1" applyFill="1" applyBorder="1" applyAlignment="1" applyProtection="1">
      <alignment horizontal="left"/>
      <protection hidden="1"/>
    </xf>
    <xf numFmtId="0" fontId="18" fillId="24" borderId="11" xfId="85" applyFont="1" applyFill="1" applyBorder="1" applyAlignment="1" applyProtection="1">
      <alignment horizontal="center" wrapText="1"/>
      <protection hidden="1"/>
    </xf>
    <xf numFmtId="0" fontId="18" fillId="24" borderId="16" xfId="85" applyFont="1" applyFill="1" applyBorder="1" applyAlignment="1" applyProtection="1">
      <alignment horizontal="center" wrapText="1"/>
      <protection hidden="1"/>
    </xf>
    <xf numFmtId="0" fontId="31" fillId="0" borderId="0" xfId="85" applyFont="1" applyAlignment="1">
      <alignment vertical="center" wrapText="1"/>
      <protection/>
    </xf>
    <xf numFmtId="0" fontId="18" fillId="0" borderId="11" xfId="85" applyBorder="1" applyAlignment="1">
      <alignment horizontal="center"/>
      <protection/>
    </xf>
    <xf numFmtId="0" fontId="18" fillId="0" borderId="16" xfId="85" applyBorder="1" applyAlignment="1">
      <alignment horizontal="center"/>
      <protection/>
    </xf>
    <xf numFmtId="0" fontId="31" fillId="27" borderId="0" xfId="85" applyFont="1" applyFill="1" applyBorder="1" applyAlignment="1">
      <alignment horizontal="right"/>
      <protection/>
    </xf>
    <xf numFmtId="0" fontId="31" fillId="27" borderId="27" xfId="85" applyFont="1" applyFill="1" applyBorder="1" applyAlignment="1">
      <alignment horizontal="right"/>
      <protection/>
    </xf>
    <xf numFmtId="0" fontId="112" fillId="27" borderId="0" xfId="79" applyFont="1" applyFill="1" applyBorder="1" applyAlignment="1" applyProtection="1">
      <alignment horizontal="right"/>
      <protection hidden="1"/>
    </xf>
    <xf numFmtId="0" fontId="112" fillId="27" borderId="27" xfId="79" applyFont="1" applyFill="1" applyBorder="1" applyAlignment="1" applyProtection="1">
      <alignment horizontal="right"/>
      <protection hidden="1"/>
    </xf>
    <xf numFmtId="0" fontId="40" fillId="24" borderId="19" xfId="85" applyFont="1" applyFill="1" applyBorder="1" applyProtection="1">
      <alignment/>
      <protection hidden="1"/>
    </xf>
    <xf numFmtId="0" fontId="67" fillId="20" borderId="51" xfId="0" applyFont="1" applyFill="1" applyBorder="1" applyAlignment="1">
      <alignment horizontal="center"/>
    </xf>
    <xf numFmtId="0" fontId="67" fillId="20" borderId="52" xfId="0" applyFont="1" applyFill="1" applyBorder="1" applyAlignment="1">
      <alignment horizontal="center"/>
    </xf>
    <xf numFmtId="0" fontId="18" fillId="24" borderId="16" xfId="85" applyFont="1" applyFill="1" applyBorder="1" applyAlignment="1" applyProtection="1">
      <alignment horizontal="left"/>
      <protection hidden="1"/>
    </xf>
    <xf numFmtId="0" fontId="18" fillId="27" borderId="0" xfId="85" applyFont="1" applyFill="1" applyBorder="1" applyAlignment="1">
      <alignment horizontal="right"/>
      <protection/>
    </xf>
    <xf numFmtId="0" fontId="111" fillId="27" borderId="0" xfId="79" applyFont="1" applyFill="1" applyBorder="1" applyAlignment="1" applyProtection="1">
      <alignment horizontal="left"/>
      <protection hidden="1"/>
    </xf>
    <xf numFmtId="0" fontId="111" fillId="27" borderId="27" xfId="79" applyFont="1" applyFill="1" applyBorder="1" applyAlignment="1" applyProtection="1">
      <alignment horizontal="left"/>
      <protection hidden="1"/>
    </xf>
    <xf numFmtId="0" fontId="18" fillId="24" borderId="17" xfId="85" applyFont="1" applyFill="1" applyBorder="1" applyAlignment="1" applyProtection="1">
      <alignment horizontal="left"/>
      <protection hidden="1"/>
    </xf>
    <xf numFmtId="0" fontId="18" fillId="31" borderId="0" xfId="85" applyFont="1" applyFill="1" applyAlignment="1" applyProtection="1">
      <alignment/>
      <protection locked="0"/>
    </xf>
    <xf numFmtId="0" fontId="4" fillId="24" borderId="0" xfId="0" applyFont="1" applyFill="1" applyAlignment="1" applyProtection="1">
      <alignment/>
      <protection hidden="1"/>
    </xf>
    <xf numFmtId="0" fontId="32" fillId="24" borderId="0" xfId="84" applyFont="1" applyFill="1" applyAlignment="1">
      <alignment horizontal="left"/>
      <protection/>
    </xf>
    <xf numFmtId="0" fontId="0" fillId="0" borderId="0" xfId="0" applyFont="1" applyAlignment="1">
      <alignment/>
    </xf>
    <xf numFmtId="0" fontId="18" fillId="24" borderId="11" xfId="85" applyFont="1" applyFill="1" applyBorder="1" applyAlignment="1" applyProtection="1">
      <alignment horizontal="left"/>
      <protection hidden="1"/>
    </xf>
    <xf numFmtId="0" fontId="7" fillId="17" borderId="21" xfId="0" applyFont="1" applyFill="1" applyBorder="1" applyAlignment="1">
      <alignment horizontal="center"/>
    </xf>
    <xf numFmtId="0" fontId="18" fillId="31" borderId="0" xfId="0" applyFont="1" applyFill="1" applyAlignment="1" applyProtection="1">
      <alignment/>
      <protection locked="0"/>
    </xf>
    <xf numFmtId="2" fontId="18" fillId="0" borderId="11" xfId="0" applyNumberFormat="1" applyFont="1" applyBorder="1" applyAlignment="1" applyProtection="1">
      <alignment horizontal="center"/>
      <protection hidden="1"/>
    </xf>
    <xf numFmtId="2" fontId="18" fillId="0" borderId="16" xfId="0" applyNumberFormat="1" applyFont="1" applyBorder="1" applyAlignment="1" applyProtection="1">
      <alignment horizontal="center"/>
      <protection hidden="1"/>
    </xf>
    <xf numFmtId="9" fontId="18" fillId="27" borderId="19" xfId="100" applyFont="1" applyFill="1" applyBorder="1" applyAlignment="1">
      <alignment vertical="top" wrapText="1"/>
      <protection/>
    </xf>
    <xf numFmtId="9" fontId="18" fillId="27" borderId="0" xfId="100" applyFont="1" applyFill="1" applyAlignment="1">
      <alignment vertical="top" wrapText="1"/>
      <protection/>
    </xf>
    <xf numFmtId="0" fontId="18" fillId="31" borderId="0" xfId="0" applyFont="1" applyFill="1" applyAlignment="1" applyProtection="1">
      <alignment wrapText="1"/>
      <protection locked="0"/>
    </xf>
    <xf numFmtId="2" fontId="96" fillId="22" borderId="16" xfId="0" applyNumberFormat="1" applyFont="1" applyFill="1" applyBorder="1" applyAlignment="1" applyProtection="1">
      <alignment horizontal="center"/>
      <protection locked="0"/>
    </xf>
    <xf numFmtId="0" fontId="31" fillId="27" borderId="22" xfId="85" applyFont="1" applyFill="1" applyBorder="1" applyAlignment="1">
      <alignment horizontal="left"/>
      <protection/>
    </xf>
    <xf numFmtId="0" fontId="7" fillId="17" borderId="14" xfId="0" applyFont="1" applyFill="1" applyBorder="1" applyAlignment="1">
      <alignment horizontal="center"/>
    </xf>
    <xf numFmtId="0" fontId="7" fillId="17" borderId="22" xfId="0" applyFont="1" applyFill="1" applyBorder="1" applyAlignment="1">
      <alignment horizontal="center"/>
    </xf>
    <xf numFmtId="0" fontId="18" fillId="24" borderId="27" xfId="0" applyFont="1" applyFill="1" applyBorder="1" applyAlignment="1" applyProtection="1">
      <alignment horizontal="left"/>
      <protection hidden="1"/>
    </xf>
    <xf numFmtId="0" fontId="18" fillId="24" borderId="0" xfId="0" applyFont="1" applyFill="1" applyBorder="1" applyAlignment="1" applyProtection="1">
      <alignment horizontal="left"/>
      <protection hidden="1"/>
    </xf>
    <xf numFmtId="0" fontId="0" fillId="0" borderId="0" xfId="0" applyAlignment="1">
      <alignment horizontal="right"/>
    </xf>
    <xf numFmtId="0" fontId="0" fillId="0" borderId="27" xfId="0" applyBorder="1" applyAlignment="1">
      <alignment horizontal="right"/>
    </xf>
    <xf numFmtId="0" fontId="18" fillId="0" borderId="11" xfId="0" applyFont="1" applyBorder="1" applyAlignment="1" applyProtection="1">
      <alignment horizontal="center"/>
      <protection hidden="1"/>
    </xf>
    <xf numFmtId="0" fontId="18" fillId="0" borderId="16" xfId="0" applyFont="1" applyBorder="1" applyAlignment="1" applyProtection="1">
      <alignment horizontal="center"/>
      <protection hidden="1"/>
    </xf>
    <xf numFmtId="2" fontId="96" fillId="0" borderId="11" xfId="0" applyNumberFormat="1" applyFont="1" applyBorder="1" applyAlignment="1" applyProtection="1">
      <alignment horizontal="center"/>
      <protection hidden="1"/>
    </xf>
    <xf numFmtId="2" fontId="96" fillId="0" borderId="16" xfId="0" applyNumberFormat="1" applyFont="1" applyBorder="1" applyAlignment="1" applyProtection="1">
      <alignment horizontal="center"/>
      <protection hidden="1"/>
    </xf>
    <xf numFmtId="2" fontId="96" fillId="22" borderId="11" xfId="0" applyNumberFormat="1" applyFont="1" applyFill="1" applyBorder="1" applyAlignment="1" applyProtection="1">
      <alignment horizontal="center"/>
      <protection locked="0"/>
    </xf>
    <xf numFmtId="0" fontId="142" fillId="24" borderId="0" xfId="85" applyFont="1" applyFill="1" applyAlignment="1">
      <alignment horizontal="center"/>
      <protection/>
    </xf>
    <xf numFmtId="0" fontId="142" fillId="28" borderId="0" xfId="93" applyFont="1" applyFill="1" applyAlignment="1" applyProtection="1">
      <alignment/>
      <protection hidden="1"/>
    </xf>
    <xf numFmtId="0" fontId="32" fillId="24" borderId="0" xfId="85" applyFont="1" applyFill="1" applyBorder="1" applyAlignment="1" applyProtection="1">
      <alignment horizontal="left"/>
      <protection hidden="1"/>
    </xf>
    <xf numFmtId="0" fontId="32" fillId="24" borderId="27" xfId="85" applyFont="1" applyFill="1" applyBorder="1" applyAlignment="1" applyProtection="1">
      <alignment horizontal="left"/>
      <protection hidden="1"/>
    </xf>
    <xf numFmtId="0" fontId="98" fillId="24" borderId="13" xfId="0" applyFont="1" applyFill="1" applyBorder="1" applyAlignment="1" applyProtection="1">
      <alignment vertical="center" wrapText="1"/>
      <protection hidden="1"/>
    </xf>
    <xf numFmtId="0" fontId="98" fillId="24" borderId="0" xfId="0" applyFont="1" applyFill="1" applyBorder="1" applyAlignment="1" applyProtection="1">
      <alignment vertical="center" wrapText="1"/>
      <protection hidden="1"/>
    </xf>
    <xf numFmtId="0" fontId="18" fillId="24" borderId="12" xfId="0" applyFont="1" applyFill="1" applyBorder="1" applyAlignment="1" applyProtection="1">
      <alignment horizontal="left"/>
      <protection hidden="1"/>
    </xf>
    <xf numFmtId="0" fontId="18" fillId="24" borderId="19" xfId="0" applyFont="1" applyFill="1" applyBorder="1" applyAlignment="1" applyProtection="1">
      <alignment horizontal="left"/>
      <protection hidden="1"/>
    </xf>
    <xf numFmtId="0" fontId="18" fillId="24" borderId="13" xfId="0" applyFont="1" applyFill="1" applyBorder="1" applyAlignment="1" applyProtection="1">
      <alignment horizontal="left"/>
      <protection hidden="1"/>
    </xf>
    <xf numFmtId="0" fontId="34" fillId="24" borderId="47" xfId="0" applyFont="1" applyFill="1" applyBorder="1" applyAlignment="1" applyProtection="1">
      <alignment horizontal="right" wrapText="1"/>
      <protection hidden="1"/>
    </xf>
    <xf numFmtId="0" fontId="34" fillId="24" borderId="53" xfId="0" applyFont="1" applyFill="1" applyBorder="1" applyAlignment="1" applyProtection="1">
      <alignment horizontal="right" wrapText="1"/>
      <protection hidden="1"/>
    </xf>
    <xf numFmtId="0" fontId="2" fillId="24" borderId="0" xfId="0" applyFont="1" applyFill="1" applyBorder="1" applyAlignment="1" applyProtection="1">
      <alignment/>
      <protection hidden="1"/>
    </xf>
    <xf numFmtId="0" fontId="101" fillId="27" borderId="0" xfId="65" applyFont="1" applyFill="1" applyAlignment="1" applyProtection="1">
      <alignment/>
      <protection hidden="1"/>
    </xf>
    <xf numFmtId="0" fontId="5" fillId="24" borderId="0" xfId="0" applyFont="1" applyFill="1" applyBorder="1" applyAlignment="1" applyProtection="1">
      <alignment horizontal="center"/>
      <protection hidden="1"/>
    </xf>
    <xf numFmtId="0" fontId="135" fillId="24" borderId="0" xfId="69" applyFont="1" applyFill="1" applyBorder="1" applyAlignment="1" applyProtection="1">
      <alignment horizontal="left"/>
      <protection hidden="1"/>
    </xf>
    <xf numFmtId="0" fontId="135" fillId="0" borderId="0" xfId="65" applyFont="1" applyAlignment="1" applyProtection="1">
      <alignment/>
      <protection hidden="1"/>
    </xf>
    <xf numFmtId="0" fontId="17" fillId="24" borderId="0" xfId="69" applyFont="1" applyFill="1" applyBorder="1" applyAlignment="1" applyProtection="1">
      <alignment horizontal="left"/>
      <protection hidden="1"/>
    </xf>
    <xf numFmtId="0" fontId="17" fillId="24" borderId="35" xfId="69" applyFont="1" applyFill="1" applyBorder="1" applyAlignment="1" applyProtection="1">
      <alignment horizontal="left"/>
      <protection hidden="1"/>
    </xf>
    <xf numFmtId="0" fontId="135" fillId="0" borderId="0" xfId="69" applyFont="1" applyBorder="1" applyAlignment="1" applyProtection="1">
      <alignment vertical="top"/>
      <protection hidden="1"/>
    </xf>
    <xf numFmtId="0" fontId="101" fillId="27" borderId="0" xfId="69" applyFont="1" applyFill="1" applyBorder="1" applyAlignment="1" applyProtection="1">
      <alignment/>
      <protection hidden="1"/>
    </xf>
    <xf numFmtId="0" fontId="10" fillId="28" borderId="0" xfId="0" applyFont="1" applyFill="1" applyBorder="1" applyAlignment="1" applyProtection="1">
      <alignment horizontal="left"/>
      <protection hidden="1"/>
    </xf>
    <xf numFmtId="0" fontId="2" fillId="27" borderId="0" xfId="0" applyFont="1" applyFill="1" applyAlignment="1" applyProtection="1">
      <alignment/>
      <protection hidden="1"/>
    </xf>
    <xf numFmtId="0" fontId="101" fillId="0" borderId="0" xfId="65" applyFont="1" applyAlignment="1" applyProtection="1">
      <alignment/>
      <protection hidden="1"/>
    </xf>
    <xf numFmtId="0" fontId="136" fillId="27" borderId="0" xfId="65" applyFont="1" applyFill="1" applyBorder="1" applyAlignment="1" applyProtection="1">
      <alignment/>
      <protection hidden="1"/>
    </xf>
    <xf numFmtId="2" fontId="17" fillId="24" borderId="0" xfId="69" applyNumberFormat="1" applyFont="1" applyFill="1" applyBorder="1" applyAlignment="1" applyProtection="1">
      <alignment horizontal="left"/>
      <protection hidden="1"/>
    </xf>
    <xf numFmtId="2" fontId="17" fillId="24" borderId="35" xfId="69" applyNumberFormat="1" applyFont="1" applyFill="1" applyBorder="1" applyAlignment="1" applyProtection="1">
      <alignment horizontal="left"/>
      <protection hidden="1"/>
    </xf>
    <xf numFmtId="0" fontId="2" fillId="24" borderId="0" xfId="0" applyFont="1" applyFill="1" applyBorder="1" applyAlignment="1" applyProtection="1">
      <alignment wrapText="1"/>
      <protection hidden="1"/>
    </xf>
    <xf numFmtId="0" fontId="103" fillId="27" borderId="0" xfId="0" applyFont="1" applyFill="1" applyBorder="1" applyAlignment="1" applyProtection="1">
      <alignment/>
      <protection hidden="1"/>
    </xf>
    <xf numFmtId="0" fontId="139" fillId="28" borderId="0" xfId="0" applyFont="1" applyFill="1" applyBorder="1" applyAlignment="1" applyProtection="1">
      <alignment horizontal="right" textRotation="90"/>
      <protection hidden="1"/>
    </xf>
    <xf numFmtId="0" fontId="100" fillId="28" borderId="48" xfId="93" applyFont="1" applyFill="1" applyBorder="1" applyAlignment="1" applyProtection="1">
      <alignment horizontal="right"/>
      <protection hidden="1"/>
    </xf>
    <xf numFmtId="0" fontId="10" fillId="28" borderId="48" xfId="93" applyFont="1" applyFill="1" applyBorder="1" applyAlignment="1" applyProtection="1">
      <alignment horizontal="right"/>
      <protection hidden="1"/>
    </xf>
    <xf numFmtId="0" fontId="10" fillId="28" borderId="54" xfId="93" applyFont="1" applyFill="1" applyBorder="1" applyAlignment="1" applyProtection="1">
      <alignment horizontal="right"/>
      <protection hidden="1"/>
    </xf>
    <xf numFmtId="0" fontId="117" fillId="27" borderId="0" xfId="93" applyFont="1" applyFill="1" applyBorder="1" applyAlignment="1">
      <alignment horizontal="left" textRotation="90"/>
      <protection/>
    </xf>
    <xf numFmtId="0" fontId="17" fillId="0" borderId="0" xfId="65" applyFont="1" applyBorder="1" applyAlignment="1" applyProtection="1">
      <alignment/>
      <protection hidden="1"/>
    </xf>
    <xf numFmtId="0" fontId="17" fillId="0" borderId="35" xfId="65" applyFont="1" applyBorder="1" applyAlignment="1" applyProtection="1">
      <alignment/>
      <protection hidden="1"/>
    </xf>
    <xf numFmtId="0" fontId="18" fillId="24" borderId="21" xfId="85" applyFill="1" applyBorder="1" applyAlignment="1" applyProtection="1">
      <alignment horizontal="left"/>
      <protection hidden="1"/>
    </xf>
    <xf numFmtId="2" fontId="18" fillId="22" borderId="11" xfId="0" applyNumberFormat="1" applyFont="1" applyFill="1" applyBorder="1" applyAlignment="1" applyProtection="1">
      <alignment horizontal="center"/>
      <protection locked="0"/>
    </xf>
    <xf numFmtId="2" fontId="18" fillId="22" borderId="16" xfId="0" applyNumberFormat="1" applyFont="1" applyFill="1" applyBorder="1" applyAlignment="1" applyProtection="1">
      <alignment horizontal="center"/>
      <protection locked="0"/>
    </xf>
    <xf numFmtId="0" fontId="23" fillId="10" borderId="13" xfId="85" applyFont="1" applyFill="1" applyBorder="1" applyAlignment="1">
      <alignment horizontal="center"/>
      <protection/>
    </xf>
    <xf numFmtId="0" fontId="23" fillId="10" borderId="0" xfId="85" applyFont="1" applyFill="1" applyBorder="1" applyAlignment="1">
      <alignment horizontal="center"/>
      <protection/>
    </xf>
    <xf numFmtId="0" fontId="23" fillId="10" borderId="27" xfId="85" applyFont="1" applyFill="1" applyBorder="1" applyAlignment="1">
      <alignment horizontal="center"/>
      <protection/>
    </xf>
    <xf numFmtId="0" fontId="18" fillId="20" borderId="12" xfId="0" applyFont="1" applyFill="1" applyBorder="1" applyAlignment="1" applyProtection="1">
      <alignment/>
      <protection hidden="1"/>
    </xf>
    <xf numFmtId="0" fontId="18" fillId="20" borderId="18" xfId="0" applyFont="1" applyFill="1" applyBorder="1" applyAlignment="1" applyProtection="1">
      <alignment/>
      <protection hidden="1"/>
    </xf>
    <xf numFmtId="0" fontId="18" fillId="0" borderId="0" xfId="85" applyFont="1" applyBorder="1" applyAlignment="1" applyProtection="1">
      <alignment horizontal="right"/>
      <protection hidden="1"/>
    </xf>
    <xf numFmtId="0" fontId="18" fillId="24" borderId="14" xfId="0" applyFont="1" applyFill="1" applyBorder="1" applyAlignment="1" applyProtection="1">
      <alignment horizontal="left"/>
      <protection hidden="1"/>
    </xf>
    <xf numFmtId="0" fontId="18" fillId="24" borderId="21" xfId="0" applyFont="1" applyFill="1" applyBorder="1" applyAlignment="1" applyProtection="1">
      <alignment horizontal="left"/>
      <protection hidden="1"/>
    </xf>
    <xf numFmtId="2" fontId="18" fillId="0" borderId="11" xfId="85" applyNumberFormat="1" applyBorder="1" applyAlignment="1" applyProtection="1">
      <alignment horizontal="center"/>
      <protection hidden="1"/>
    </xf>
    <xf numFmtId="2" fontId="18" fillId="0" borderId="17" xfId="85" applyNumberFormat="1" applyBorder="1" applyAlignment="1" applyProtection="1">
      <alignment horizontal="center"/>
      <protection hidden="1"/>
    </xf>
    <xf numFmtId="2" fontId="18" fillId="0" borderId="16" xfId="85" applyNumberFormat="1" applyBorder="1" applyAlignment="1" applyProtection="1">
      <alignment horizontal="center"/>
      <protection hidden="1"/>
    </xf>
    <xf numFmtId="0" fontId="32" fillId="27" borderId="0" xfId="85" applyFont="1" applyFill="1" applyProtection="1">
      <alignment/>
      <protection hidden="1"/>
    </xf>
    <xf numFmtId="0" fontId="32" fillId="24" borderId="0" xfId="84" applyFont="1" applyFill="1" applyBorder="1">
      <alignment/>
      <protection/>
    </xf>
    <xf numFmtId="0" fontId="18" fillId="24" borderId="19" xfId="96" applyFont="1" applyFill="1" applyBorder="1" applyAlignment="1" applyProtection="1">
      <alignment horizontal="center" vertical="center" wrapText="1"/>
      <protection hidden="1"/>
    </xf>
    <xf numFmtId="183" fontId="68" fillId="24" borderId="14" xfId="84" applyNumberFormat="1" applyFont="1" applyFill="1" applyBorder="1" applyAlignment="1" applyProtection="1">
      <alignment horizontal="center" wrapText="1"/>
      <protection hidden="1"/>
    </xf>
    <xf numFmtId="183" fontId="68" fillId="24" borderId="21" xfId="84" applyNumberFormat="1" applyFont="1" applyFill="1" applyBorder="1" applyAlignment="1" applyProtection="1">
      <alignment horizontal="center" wrapText="1"/>
      <protection hidden="1"/>
    </xf>
    <xf numFmtId="182" fontId="18" fillId="24" borderId="22" xfId="85" applyNumberFormat="1" applyFill="1" applyBorder="1" applyAlignment="1" applyProtection="1" quotePrefix="1">
      <alignment horizontal="right"/>
      <protection hidden="1"/>
    </xf>
    <xf numFmtId="0" fontId="32" fillId="24" borderId="0" xfId="85" applyFont="1" applyFill="1" applyAlignment="1" applyProtection="1">
      <alignment/>
      <protection hidden="1"/>
    </xf>
    <xf numFmtId="0" fontId="32" fillId="24" borderId="27" xfId="85" applyFont="1" applyFill="1" applyBorder="1" applyAlignment="1" applyProtection="1">
      <alignment/>
      <protection hidden="1"/>
    </xf>
    <xf numFmtId="0" fontId="18" fillId="28" borderId="0" xfId="85" applyFont="1" applyFill="1" applyBorder="1" applyAlignment="1" applyProtection="1">
      <alignment/>
      <protection hidden="1"/>
    </xf>
    <xf numFmtId="9" fontId="18" fillId="27" borderId="0" xfId="100" applyFont="1" applyFill="1" applyBorder="1" applyAlignment="1" applyProtection="1">
      <alignment vertical="top" wrapText="1"/>
      <protection hidden="1"/>
    </xf>
    <xf numFmtId="9" fontId="18" fillId="27" borderId="0" xfId="100" applyFont="1" applyFill="1" applyAlignment="1" applyProtection="1">
      <alignment vertical="top" wrapText="1"/>
      <protection hidden="1"/>
    </xf>
    <xf numFmtId="9" fontId="18" fillId="27" borderId="13" xfId="100" applyFont="1" applyFill="1" applyBorder="1" applyAlignment="1" applyProtection="1">
      <alignment vertical="top" wrapText="1"/>
      <protection hidden="1"/>
    </xf>
    <xf numFmtId="0" fontId="18" fillId="27" borderId="0" xfId="85" applyFont="1" applyFill="1" applyBorder="1" applyProtection="1">
      <alignment/>
      <protection hidden="1"/>
    </xf>
    <xf numFmtId="0" fontId="18" fillId="24" borderId="12" xfId="85" applyFill="1" applyBorder="1" applyAlignment="1" applyProtection="1">
      <alignment horizontal="left"/>
      <protection hidden="1"/>
    </xf>
    <xf numFmtId="0" fontId="18" fillId="24" borderId="19" xfId="85" applyFill="1" applyBorder="1" applyAlignment="1" applyProtection="1">
      <alignment horizontal="left"/>
      <protection hidden="1"/>
    </xf>
    <xf numFmtId="0" fontId="18" fillId="24" borderId="14" xfId="85" applyFill="1" applyBorder="1" applyAlignment="1" applyProtection="1">
      <alignment horizontal="left"/>
      <protection hidden="1"/>
    </xf>
    <xf numFmtId="0" fontId="18" fillId="24" borderId="22" xfId="85" applyFill="1" applyBorder="1" applyAlignment="1" applyProtection="1">
      <alignment horizontal="left"/>
      <protection hidden="1"/>
    </xf>
    <xf numFmtId="0" fontId="18" fillId="27" borderId="0" xfId="85" applyFont="1" applyFill="1" applyAlignment="1">
      <alignment horizontal="center"/>
      <protection/>
    </xf>
    <xf numFmtId="0" fontId="18" fillId="22" borderId="11" xfId="85" applyNumberFormat="1" applyFill="1" applyBorder="1" applyAlignment="1" applyProtection="1">
      <alignment horizontal="center" wrapText="1"/>
      <protection locked="0"/>
    </xf>
    <xf numFmtId="0" fontId="18" fillId="22" borderId="16" xfId="85" applyNumberFormat="1" applyFill="1" applyBorder="1" applyAlignment="1" applyProtection="1">
      <alignment horizontal="center" wrapText="1"/>
      <protection locked="0"/>
    </xf>
    <xf numFmtId="0" fontId="96" fillId="28" borderId="0" xfId="88" applyFont="1" applyFill="1" applyBorder="1" applyAlignment="1" applyProtection="1">
      <alignment horizontal="right"/>
      <protection hidden="1"/>
    </xf>
    <xf numFmtId="0" fontId="18" fillId="24" borderId="0" xfId="85" applyFill="1" applyProtection="1">
      <alignment/>
      <protection hidden="1"/>
    </xf>
    <xf numFmtId="0" fontId="17" fillId="24" borderId="0" xfId="65" applyFont="1" applyFill="1" applyAlignment="1" applyProtection="1">
      <alignment horizontal="left"/>
      <protection hidden="1"/>
    </xf>
    <xf numFmtId="0" fontId="16" fillId="24" borderId="0" xfId="85" applyFont="1" applyFill="1" applyAlignment="1" applyProtection="1">
      <alignment horizontal="left"/>
      <protection hidden="1"/>
    </xf>
    <xf numFmtId="0" fontId="123" fillId="28" borderId="13" xfId="85" applyFont="1" applyFill="1" applyBorder="1" applyAlignment="1" applyProtection="1">
      <alignment horizontal="left"/>
      <protection hidden="1"/>
    </xf>
    <xf numFmtId="0" fontId="123" fillId="28" borderId="0" xfId="85" applyFont="1" applyFill="1" applyBorder="1" applyAlignment="1" applyProtection="1">
      <alignment horizontal="left"/>
      <protection hidden="1"/>
    </xf>
    <xf numFmtId="0" fontId="17" fillId="24" borderId="0" xfId="65" applyFont="1" applyFill="1" applyAlignment="1" applyProtection="1">
      <alignment/>
      <protection hidden="1"/>
    </xf>
    <xf numFmtId="0" fontId="16" fillId="27" borderId="0" xfId="85" applyFont="1" applyFill="1" applyAlignment="1" applyProtection="1">
      <alignment horizontal="right"/>
      <protection hidden="1"/>
    </xf>
    <xf numFmtId="0" fontId="0" fillId="27" borderId="0" xfId="0" applyFont="1" applyFill="1" applyAlignment="1" applyProtection="1">
      <alignment/>
      <protection hidden="1"/>
    </xf>
    <xf numFmtId="0" fontId="16" fillId="24" borderId="0" xfId="85" applyFont="1" applyFill="1" applyAlignment="1" applyProtection="1">
      <alignment horizontal="right"/>
      <protection hidden="1"/>
    </xf>
    <xf numFmtId="0" fontId="24" fillId="27" borderId="11" xfId="0" applyFont="1" applyFill="1" applyBorder="1" applyAlignment="1" applyProtection="1">
      <alignment horizontal="center"/>
      <protection hidden="1"/>
    </xf>
    <xf numFmtId="0" fontId="24" fillId="27" borderId="17" xfId="0" applyFont="1" applyFill="1" applyBorder="1" applyAlignment="1" applyProtection="1">
      <alignment horizontal="center"/>
      <protection hidden="1"/>
    </xf>
    <xf numFmtId="0" fontId="24" fillId="27" borderId="16" xfId="0" applyFont="1" applyFill="1" applyBorder="1" applyAlignment="1" applyProtection="1">
      <alignment horizontal="center"/>
      <protection hidden="1"/>
    </xf>
    <xf numFmtId="0" fontId="26" fillId="24" borderId="0" xfId="85" applyFont="1" applyFill="1" applyAlignment="1" applyProtection="1">
      <alignment horizontal="left"/>
      <protection hidden="1"/>
    </xf>
    <xf numFmtId="0" fontId="6" fillId="0" borderId="11" xfId="85" applyFont="1" applyBorder="1" applyAlignment="1">
      <alignment horizontal="center"/>
      <protection/>
    </xf>
    <xf numFmtId="0" fontId="6" fillId="0" borderId="17" xfId="85" applyFont="1" applyBorder="1" applyAlignment="1">
      <alignment horizontal="center"/>
      <protection/>
    </xf>
    <xf numFmtId="0" fontId="6" fillId="0" borderId="16" xfId="85" applyFont="1" applyBorder="1" applyAlignment="1">
      <alignment horizontal="center"/>
      <protection/>
    </xf>
    <xf numFmtId="0" fontId="3" fillId="27" borderId="0" xfId="85" applyFont="1" applyFill="1" applyAlignment="1" applyProtection="1">
      <alignment/>
      <protection hidden="1"/>
    </xf>
    <xf numFmtId="0" fontId="7" fillId="17" borderId="13" xfId="0" applyFont="1" applyFill="1" applyBorder="1" applyAlignment="1">
      <alignment horizontal="center"/>
    </xf>
    <xf numFmtId="0" fontId="7" fillId="17" borderId="0" xfId="0" applyFont="1" applyFill="1" applyBorder="1" applyAlignment="1">
      <alignment horizontal="center"/>
    </xf>
    <xf numFmtId="0" fontId="7" fillId="17" borderId="27" xfId="0" applyFont="1" applyFill="1" applyBorder="1" applyAlignment="1">
      <alignment horizontal="center"/>
    </xf>
    <xf numFmtId="0" fontId="3" fillId="6" borderId="12" xfId="85" applyFont="1" applyFill="1" applyBorder="1" applyAlignment="1">
      <alignment horizontal="center"/>
      <protection/>
    </xf>
    <xf numFmtId="0" fontId="3" fillId="6" borderId="19" xfId="85" applyFont="1" applyFill="1" applyBorder="1" applyAlignment="1">
      <alignment horizontal="center"/>
      <protection/>
    </xf>
    <xf numFmtId="0" fontId="3" fillId="6" borderId="18" xfId="85" applyFont="1" applyFill="1" applyBorder="1" applyAlignment="1">
      <alignment horizontal="center"/>
      <protection/>
    </xf>
    <xf numFmtId="0" fontId="3" fillId="6" borderId="13" xfId="85" applyFont="1" applyFill="1" applyBorder="1" applyAlignment="1">
      <alignment horizontal="center"/>
      <protection/>
    </xf>
    <xf numFmtId="0" fontId="3" fillId="6" borderId="0" xfId="85" applyFont="1" applyFill="1" applyBorder="1" applyAlignment="1">
      <alignment horizontal="center"/>
      <protection/>
    </xf>
    <xf numFmtId="0" fontId="3" fillId="6" borderId="27" xfId="85" applyFont="1" applyFill="1" applyBorder="1" applyAlignment="1">
      <alignment horizontal="center"/>
      <protection/>
    </xf>
    <xf numFmtId="0" fontId="3" fillId="11" borderId="13" xfId="85" applyFont="1" applyFill="1" applyBorder="1" applyAlignment="1">
      <alignment horizontal="center"/>
      <protection/>
    </xf>
    <xf numFmtId="0" fontId="3" fillId="11" borderId="0" xfId="85" applyFont="1" applyFill="1" applyBorder="1" applyAlignment="1">
      <alignment horizontal="center"/>
      <protection/>
    </xf>
    <xf numFmtId="0" fontId="3" fillId="11" borderId="27" xfId="85" applyFont="1" applyFill="1" applyBorder="1" applyAlignment="1">
      <alignment horizontal="center"/>
      <protection/>
    </xf>
    <xf numFmtId="0" fontId="0" fillId="24" borderId="0" xfId="85" applyFont="1" applyFill="1" applyProtection="1">
      <alignment/>
      <protection hidden="1"/>
    </xf>
    <xf numFmtId="9" fontId="18" fillId="27" borderId="0" xfId="100" applyFont="1" applyFill="1">
      <alignment/>
      <protection/>
    </xf>
    <xf numFmtId="0" fontId="18" fillId="27" borderId="22" xfId="85" applyFill="1" applyBorder="1" applyProtection="1">
      <alignment/>
      <protection hidden="1"/>
    </xf>
    <xf numFmtId="182" fontId="18" fillId="24" borderId="14" xfId="85" applyNumberFormat="1" applyFont="1" applyFill="1" applyBorder="1" applyAlignment="1" applyProtection="1">
      <alignment horizontal="left"/>
      <protection hidden="1"/>
    </xf>
    <xf numFmtId="182" fontId="18" fillId="24" borderId="22" xfId="85" applyNumberFormat="1" applyFill="1" applyBorder="1" applyAlignment="1" applyProtection="1">
      <alignment horizontal="left"/>
      <protection hidden="1"/>
    </xf>
    <xf numFmtId="182" fontId="99" fillId="24" borderId="12" xfId="96" applyNumberFormat="1" applyFont="1" applyFill="1" applyBorder="1" applyAlignment="1" applyProtection="1">
      <alignment horizontal="center" wrapText="1"/>
      <protection hidden="1"/>
    </xf>
    <xf numFmtId="182" fontId="99" fillId="24" borderId="18" xfId="96" applyNumberFormat="1" applyFont="1" applyFill="1" applyBorder="1" applyAlignment="1" applyProtection="1">
      <alignment horizontal="center" wrapText="1"/>
      <protection hidden="1"/>
    </xf>
    <xf numFmtId="0" fontId="32" fillId="27" borderId="0" xfId="85" applyFont="1" applyFill="1" applyAlignment="1" applyProtection="1">
      <alignment horizontal="left"/>
      <protection hidden="1"/>
    </xf>
    <xf numFmtId="0" fontId="18" fillId="24" borderId="14" xfId="0" applyFont="1" applyFill="1" applyBorder="1" applyAlignment="1" applyProtection="1">
      <alignment/>
      <protection hidden="1"/>
    </xf>
    <xf numFmtId="0" fontId="18" fillId="24" borderId="21" xfId="0" applyFont="1" applyFill="1" applyBorder="1" applyAlignment="1" applyProtection="1">
      <alignment/>
      <protection hidden="1"/>
    </xf>
    <xf numFmtId="0" fontId="18" fillId="24" borderId="13" xfId="82" applyFont="1" applyFill="1" applyBorder="1" applyProtection="1">
      <alignment/>
      <protection hidden="1"/>
    </xf>
    <xf numFmtId="0" fontId="18" fillId="24" borderId="27" xfId="82" applyFont="1" applyFill="1" applyBorder="1" applyProtection="1">
      <alignment/>
      <protection hidden="1"/>
    </xf>
    <xf numFmtId="0" fontId="69" fillId="27" borderId="0" xfId="65" applyFont="1" applyFill="1" applyAlignment="1" applyProtection="1">
      <alignment vertical="justify"/>
      <protection hidden="1"/>
    </xf>
    <xf numFmtId="0" fontId="98" fillId="27" borderId="13" xfId="85" applyFont="1" applyFill="1" applyBorder="1" applyAlignment="1" applyProtection="1">
      <alignment horizontal="left" vertical="top" wrapText="1"/>
      <protection hidden="1"/>
    </xf>
    <xf numFmtId="0" fontId="98" fillId="27" borderId="0" xfId="85" applyFont="1" applyFill="1" applyBorder="1" applyAlignment="1" applyProtection="1">
      <alignment horizontal="left" vertical="top" wrapText="1"/>
      <protection hidden="1"/>
    </xf>
    <xf numFmtId="2" fontId="83" fillId="27" borderId="14" xfId="96" applyNumberFormat="1" applyFont="1" applyFill="1" applyBorder="1" applyAlignment="1" applyProtection="1">
      <alignment horizontal="right"/>
      <protection hidden="1"/>
    </xf>
    <xf numFmtId="2" fontId="83" fillId="27" borderId="21" xfId="96" applyNumberFormat="1" applyFont="1" applyFill="1" applyBorder="1" applyAlignment="1" applyProtection="1">
      <alignment horizontal="right"/>
      <protection hidden="1"/>
    </xf>
    <xf numFmtId="0" fontId="69" fillId="0" borderId="13" xfId="65" applyFont="1" applyBorder="1" applyAlignment="1" applyProtection="1">
      <alignment horizontal="center"/>
      <protection hidden="1"/>
    </xf>
    <xf numFmtId="0" fontId="69" fillId="0" borderId="0" xfId="65" applyFont="1" applyAlignment="1" applyProtection="1">
      <alignment horizontal="center"/>
      <protection hidden="1"/>
    </xf>
    <xf numFmtId="0" fontId="69" fillId="0" borderId="27" xfId="65" applyFont="1" applyBorder="1" applyAlignment="1" applyProtection="1">
      <alignment horizontal="center"/>
      <protection hidden="1"/>
    </xf>
    <xf numFmtId="0" fontId="18" fillId="27" borderId="13" xfId="85" applyFont="1" applyFill="1" applyBorder="1" applyAlignment="1" applyProtection="1">
      <alignment horizontal="center" vertical="top"/>
      <protection hidden="1"/>
    </xf>
    <xf numFmtId="0" fontId="18" fillId="27" borderId="0" xfId="85" applyFont="1" applyFill="1" applyBorder="1" applyAlignment="1" applyProtection="1">
      <alignment horizontal="center" vertical="top"/>
      <protection hidden="1"/>
    </xf>
    <xf numFmtId="0" fontId="18" fillId="27" borderId="27" xfId="85" applyFont="1" applyFill="1" applyBorder="1" applyAlignment="1" applyProtection="1">
      <alignment horizontal="center" vertical="top"/>
      <protection hidden="1"/>
    </xf>
    <xf numFmtId="0" fontId="18" fillId="24" borderId="0" xfId="84" applyFont="1" applyFill="1" applyProtection="1">
      <alignment/>
      <protection hidden="1"/>
    </xf>
    <xf numFmtId="182" fontId="99" fillId="24" borderId="14" xfId="96" applyNumberFormat="1" applyFont="1" applyFill="1" applyBorder="1" applyAlignment="1" applyProtection="1">
      <alignment horizontal="center" wrapText="1"/>
      <protection hidden="1"/>
    </xf>
    <xf numFmtId="182" fontId="99" fillId="24" borderId="21" xfId="96" applyNumberFormat="1" applyFont="1" applyFill="1" applyBorder="1" applyAlignment="1" applyProtection="1">
      <alignment horizontal="center" wrapText="1"/>
      <protection hidden="1"/>
    </xf>
    <xf numFmtId="0" fontId="18" fillId="27" borderId="0" xfId="0" applyFont="1" applyFill="1" applyAlignment="1" applyProtection="1">
      <alignment/>
      <protection hidden="1"/>
    </xf>
    <xf numFmtId="2" fontId="18" fillId="24" borderId="22" xfId="96" applyNumberFormat="1" applyFont="1" applyFill="1" applyBorder="1" applyAlignment="1" applyProtection="1">
      <alignment horizontal="center"/>
      <protection hidden="1"/>
    </xf>
    <xf numFmtId="0" fontId="18" fillId="24" borderId="12" xfId="0" applyFont="1" applyFill="1" applyBorder="1" applyAlignment="1" applyProtection="1">
      <alignment/>
      <protection hidden="1"/>
    </xf>
    <xf numFmtId="0" fontId="18" fillId="24" borderId="18" xfId="0" applyFont="1" applyFill="1" applyBorder="1" applyAlignment="1" applyProtection="1">
      <alignment/>
      <protection hidden="1"/>
    </xf>
    <xf numFmtId="0" fontId="18" fillId="24" borderId="11" xfId="0" applyFont="1" applyFill="1" applyBorder="1" applyAlignment="1" applyProtection="1">
      <alignment/>
      <protection hidden="1"/>
    </xf>
    <xf numFmtId="0" fontId="18" fillId="24" borderId="16" xfId="0" applyFont="1" applyFill="1" applyBorder="1" applyAlignment="1" applyProtection="1">
      <alignment/>
      <protection hidden="1"/>
    </xf>
    <xf numFmtId="0" fontId="20" fillId="27" borderId="0" xfId="77" applyFont="1" applyFill="1" applyAlignment="1" applyProtection="1">
      <alignment horizontal="center"/>
      <protection hidden="1"/>
    </xf>
    <xf numFmtId="0" fontId="20" fillId="27" borderId="0" xfId="77" applyFont="1" applyFill="1" applyProtection="1">
      <alignment/>
      <protection hidden="1"/>
    </xf>
    <xf numFmtId="0" fontId="29" fillId="27" borderId="0" xfId="65" applyFont="1" applyFill="1" applyAlignment="1" applyProtection="1">
      <alignment horizontal="center"/>
      <protection hidden="1"/>
    </xf>
    <xf numFmtId="1" fontId="13" fillId="27" borderId="0" xfId="85" applyNumberFormat="1" applyFont="1" applyFill="1" applyProtection="1">
      <alignment/>
      <protection hidden="1"/>
    </xf>
    <xf numFmtId="182" fontId="3" fillId="27" borderId="0" xfId="85" applyNumberFormat="1" applyFont="1" applyFill="1" applyProtection="1">
      <alignment/>
      <protection hidden="1"/>
    </xf>
    <xf numFmtId="0" fontId="36" fillId="27" borderId="0" xfId="85" applyFont="1" applyFill="1" applyProtection="1">
      <alignment/>
      <protection hidden="1"/>
    </xf>
    <xf numFmtId="0" fontId="3" fillId="24" borderId="0" xfId="85" applyFont="1" applyFill="1">
      <alignment/>
      <protection/>
    </xf>
    <xf numFmtId="0" fontId="3" fillId="24" borderId="0" xfId="85" applyFont="1" applyFill="1" applyAlignment="1" applyProtection="1">
      <alignment horizontal="right"/>
      <protection hidden="1"/>
    </xf>
    <xf numFmtId="0" fontId="3" fillId="24" borderId="11" xfId="77" applyFont="1" applyFill="1" applyBorder="1" applyAlignment="1" applyProtection="1" quotePrefix="1">
      <alignment horizontal="center" wrapText="1"/>
      <protection hidden="1"/>
    </xf>
    <xf numFmtId="0" fontId="3" fillId="24" borderId="16" xfId="77" applyFont="1" applyFill="1" applyBorder="1" applyAlignment="1" applyProtection="1">
      <alignment horizontal="center" wrapText="1"/>
      <protection hidden="1"/>
    </xf>
    <xf numFmtId="0" fontId="3" fillId="27" borderId="0" xfId="85" applyFont="1" applyFill="1" applyProtection="1">
      <alignment/>
      <protection hidden="1"/>
    </xf>
    <xf numFmtId="1" fontId="13" fillId="24" borderId="0" xfId="85" applyNumberFormat="1" applyFont="1" applyFill="1" applyBorder="1" applyProtection="1">
      <alignment/>
      <protection hidden="1"/>
    </xf>
    <xf numFmtId="182" fontId="21" fillId="27" borderId="0" xfId="85" applyNumberFormat="1" applyFont="1" applyFill="1" applyProtection="1">
      <alignment/>
      <protection hidden="1"/>
    </xf>
    <xf numFmtId="1" fontId="3" fillId="27" borderId="11" xfId="85" applyNumberFormat="1" applyFont="1" applyFill="1" applyBorder="1" applyProtection="1">
      <alignment/>
      <protection hidden="1"/>
    </xf>
    <xf numFmtId="1" fontId="3" fillId="27" borderId="16" xfId="85" applyNumberFormat="1" applyFont="1" applyFill="1" applyBorder="1" applyProtection="1">
      <alignment/>
      <protection hidden="1"/>
    </xf>
    <xf numFmtId="0" fontId="3" fillId="24" borderId="11" xfId="85" applyFont="1" applyFill="1" applyBorder="1" applyProtection="1">
      <alignment/>
      <protection hidden="1"/>
    </xf>
    <xf numFmtId="0" fontId="3" fillId="24" borderId="16" xfId="85" applyFont="1" applyFill="1" applyBorder="1" applyProtection="1">
      <alignment/>
      <protection hidden="1"/>
    </xf>
    <xf numFmtId="0" fontId="3" fillId="24" borderId="0" xfId="85" applyFont="1" applyFill="1" applyProtection="1">
      <alignment/>
      <protection hidden="1"/>
    </xf>
    <xf numFmtId="0" fontId="36" fillId="27" borderId="0" xfId="85" applyFont="1" applyFill="1" applyAlignment="1" applyProtection="1">
      <alignment horizontal="left"/>
      <protection hidden="1"/>
    </xf>
    <xf numFmtId="0" fontId="3" fillId="27" borderId="14" xfId="85" applyFont="1" applyFill="1" applyBorder="1" applyProtection="1">
      <alignment/>
      <protection hidden="1"/>
    </xf>
    <xf numFmtId="0" fontId="3" fillId="27" borderId="21" xfId="85" applyFont="1" applyFill="1" applyBorder="1" applyProtection="1">
      <alignment/>
      <protection hidden="1"/>
    </xf>
    <xf numFmtId="0" fontId="3" fillId="22" borderId="12" xfId="85" applyFont="1" applyFill="1" applyBorder="1" applyAlignment="1" applyProtection="1">
      <alignment vertical="top" wrapText="1"/>
      <protection locked="0"/>
    </xf>
    <xf numFmtId="0" fontId="3" fillId="22" borderId="18" xfId="85" applyFont="1" applyFill="1" applyBorder="1" applyAlignment="1" applyProtection="1">
      <alignment vertical="top" wrapText="1"/>
      <protection locked="0"/>
    </xf>
    <xf numFmtId="0" fontId="3" fillId="22" borderId="13" xfId="85" applyFont="1" applyFill="1" applyBorder="1" applyAlignment="1" applyProtection="1">
      <alignment vertical="top" wrapText="1"/>
      <protection locked="0"/>
    </xf>
    <xf numFmtId="0" fontId="3" fillId="22" borderId="27" xfId="85" applyFont="1" applyFill="1" applyBorder="1" applyAlignment="1" applyProtection="1">
      <alignment vertical="top" wrapText="1"/>
      <protection locked="0"/>
    </xf>
    <xf numFmtId="182" fontId="3" fillId="7" borderId="0" xfId="85" applyNumberFormat="1" applyFont="1" applyFill="1" applyProtection="1">
      <alignment/>
      <protection hidden="1"/>
    </xf>
    <xf numFmtId="0" fontId="3" fillId="0" borderId="11" xfId="77" applyFont="1" applyBorder="1" applyAlignment="1" applyProtection="1">
      <alignment horizontal="center" wrapText="1"/>
      <protection hidden="1"/>
    </xf>
    <xf numFmtId="0" fontId="3" fillId="0" borderId="16" xfId="77" applyFont="1" applyBorder="1" applyAlignment="1" applyProtection="1">
      <alignment horizontal="center" wrapText="1"/>
      <protection hidden="1"/>
    </xf>
    <xf numFmtId="0" fontId="3" fillId="24" borderId="0" xfId="85" applyFont="1" applyFill="1" applyBorder="1" applyProtection="1">
      <alignment/>
      <protection hidden="1"/>
    </xf>
    <xf numFmtId="0" fontId="13" fillId="24" borderId="0" xfId="85" applyFont="1" applyFill="1" applyProtection="1">
      <alignment/>
      <protection hidden="1"/>
    </xf>
    <xf numFmtId="0" fontId="36" fillId="24" borderId="22" xfId="85" applyFont="1" applyFill="1" applyBorder="1" applyProtection="1">
      <alignment/>
      <protection hidden="1"/>
    </xf>
    <xf numFmtId="0" fontId="3" fillId="0" borderId="11" xfId="77" applyFont="1" applyBorder="1" applyAlignment="1" applyProtection="1" quotePrefix="1">
      <alignment horizontal="center" wrapText="1"/>
      <protection hidden="1"/>
    </xf>
    <xf numFmtId="182" fontId="95" fillId="27" borderId="0" xfId="85" applyNumberFormat="1" applyFont="1" applyFill="1" applyProtection="1">
      <alignment/>
      <protection hidden="1"/>
    </xf>
    <xf numFmtId="182" fontId="21" fillId="27" borderId="0" xfId="85" applyNumberFormat="1" applyFont="1" applyFill="1" applyAlignment="1" applyProtection="1">
      <alignment horizontal="left"/>
      <protection hidden="1"/>
    </xf>
    <xf numFmtId="0" fontId="3" fillId="27" borderId="0" xfId="85" applyFont="1" applyFill="1" applyAlignment="1" applyProtection="1">
      <alignment wrapText="1"/>
      <protection hidden="1"/>
    </xf>
    <xf numFmtId="0" fontId="27" fillId="24" borderId="0" xfId="85" applyFont="1" applyFill="1" applyAlignment="1" applyProtection="1">
      <alignment horizontal="center"/>
      <protection hidden="1"/>
    </xf>
    <xf numFmtId="200" fontId="18" fillId="27" borderId="15" xfId="0" applyNumberFormat="1" applyFont="1" applyFill="1" applyBorder="1" applyAlignment="1">
      <alignment horizontal="center" vertical="top" wrapText="1"/>
    </xf>
    <xf numFmtId="200" fontId="18" fillId="27" borderId="20" xfId="0" applyNumberFormat="1" applyFont="1" applyFill="1" applyBorder="1" applyAlignment="1">
      <alignment horizontal="center" vertical="top" wrapText="1"/>
    </xf>
    <xf numFmtId="0" fontId="3" fillId="27" borderId="13" xfId="85" applyFont="1" applyFill="1" applyBorder="1" applyProtection="1">
      <alignment/>
      <protection hidden="1"/>
    </xf>
    <xf numFmtId="0" fontId="3" fillId="27" borderId="27" xfId="85" applyFont="1" applyFill="1" applyBorder="1" applyProtection="1">
      <alignment/>
      <protection hidden="1"/>
    </xf>
    <xf numFmtId="0" fontId="3" fillId="24" borderId="12" xfId="85" applyFont="1" applyFill="1" applyBorder="1" applyProtection="1">
      <alignment/>
      <protection hidden="1"/>
    </xf>
    <xf numFmtId="0" fontId="3" fillId="24" borderId="18" xfId="85" applyFont="1" applyFill="1" applyBorder="1" applyProtection="1">
      <alignment/>
      <protection hidden="1"/>
    </xf>
    <xf numFmtId="0" fontId="3" fillId="27" borderId="0" xfId="85" applyFont="1" applyFill="1" applyAlignment="1" applyProtection="1">
      <alignment horizontal="left" wrapText="1"/>
      <protection hidden="1"/>
    </xf>
    <xf numFmtId="0" fontId="3" fillId="27" borderId="22" xfId="85" applyFont="1" applyFill="1" applyBorder="1" applyAlignment="1" applyProtection="1">
      <alignment horizontal="left" wrapText="1"/>
      <protection hidden="1"/>
    </xf>
    <xf numFmtId="0" fontId="3" fillId="27" borderId="0" xfId="85" applyFont="1" applyFill="1" applyBorder="1" applyAlignment="1" applyProtection="1">
      <alignment horizontal="left" wrapText="1"/>
      <protection hidden="1"/>
    </xf>
    <xf numFmtId="0" fontId="3" fillId="24" borderId="0" xfId="84" applyFont="1" applyFill="1" applyProtection="1">
      <alignment/>
      <protection hidden="1"/>
    </xf>
    <xf numFmtId="1" fontId="3" fillId="27" borderId="0" xfId="85" applyNumberFormat="1" applyFont="1" applyFill="1" applyProtection="1">
      <alignment/>
      <protection hidden="1"/>
    </xf>
    <xf numFmtId="1" fontId="3" fillId="24" borderId="0" xfId="85" applyNumberFormat="1" applyFont="1" applyFill="1" applyProtection="1">
      <alignment/>
      <protection hidden="1"/>
    </xf>
    <xf numFmtId="0" fontId="3" fillId="0" borderId="11" xfId="77" applyFont="1" applyBorder="1" applyAlignment="1" applyProtection="1">
      <alignment horizontal="left" wrapText="1"/>
      <protection hidden="1"/>
    </xf>
    <xf numFmtId="0" fontId="3" fillId="0" borderId="17" xfId="77" applyFont="1" applyBorder="1" applyAlignment="1" applyProtection="1">
      <alignment horizontal="left" wrapText="1"/>
      <protection hidden="1"/>
    </xf>
    <xf numFmtId="0" fontId="3" fillId="0" borderId="16" xfId="77" applyFont="1" applyBorder="1" applyAlignment="1" applyProtection="1">
      <alignment horizontal="left" wrapText="1"/>
      <protection hidden="1"/>
    </xf>
    <xf numFmtId="0" fontId="3" fillId="24" borderId="14" xfId="85" applyFont="1" applyFill="1" applyBorder="1" applyAlignment="1" applyProtection="1">
      <alignment horizontal="left"/>
      <protection hidden="1"/>
    </xf>
    <xf numFmtId="0" fontId="3" fillId="24" borderId="22" xfId="85" applyFont="1" applyFill="1" applyBorder="1" applyAlignment="1" applyProtection="1">
      <alignment horizontal="left"/>
      <protection hidden="1"/>
    </xf>
    <xf numFmtId="0" fontId="27" fillId="0" borderId="0" xfId="85" applyFont="1" applyAlignment="1" applyProtection="1">
      <alignment horizontal="center"/>
      <protection hidden="1"/>
    </xf>
    <xf numFmtId="0" fontId="20" fillId="0" borderId="12" xfId="0" applyFont="1" applyBorder="1" applyAlignment="1" applyProtection="1">
      <alignment/>
      <protection hidden="1"/>
    </xf>
    <xf numFmtId="0" fontId="20" fillId="0" borderId="19" xfId="0" applyFont="1" applyBorder="1" applyAlignment="1" applyProtection="1">
      <alignment/>
      <protection hidden="1"/>
    </xf>
    <xf numFmtId="0" fontId="20" fillId="0" borderId="18" xfId="0" applyFont="1" applyBorder="1" applyAlignment="1" applyProtection="1">
      <alignment/>
      <protection hidden="1"/>
    </xf>
    <xf numFmtId="0" fontId="68" fillId="24" borderId="25" xfId="77" applyFont="1" applyFill="1" applyBorder="1" applyAlignment="1" quotePrefix="1">
      <alignment horizontal="center"/>
      <protection/>
    </xf>
    <xf numFmtId="0" fontId="68" fillId="24" borderId="26" xfId="77" applyFont="1" applyFill="1" applyBorder="1" applyAlignment="1" quotePrefix="1">
      <alignment horizontal="center"/>
      <protection/>
    </xf>
    <xf numFmtId="0" fontId="68" fillId="24" borderId="34" xfId="77" applyFont="1" applyFill="1" applyBorder="1" applyAlignment="1" quotePrefix="1">
      <alignment horizontal="center"/>
      <protection/>
    </xf>
    <xf numFmtId="0" fontId="68" fillId="24" borderId="55" xfId="77" applyFont="1" applyFill="1" applyBorder="1" applyAlignment="1" quotePrefix="1">
      <alignment horizontal="center"/>
      <protection/>
    </xf>
    <xf numFmtId="0" fontId="68" fillId="24" borderId="34" xfId="85" applyFont="1" applyFill="1" applyBorder="1" applyAlignment="1" applyProtection="1" quotePrefix="1">
      <alignment horizontal="center"/>
      <protection hidden="1"/>
    </xf>
    <xf numFmtId="0" fontId="68" fillId="24" borderId="55" xfId="85" applyFont="1" applyFill="1" applyBorder="1" applyAlignment="1" applyProtection="1" quotePrefix="1">
      <alignment horizontal="center"/>
      <protection hidden="1"/>
    </xf>
    <xf numFmtId="0" fontId="68" fillId="24" borderId="25" xfId="77" applyFont="1" applyFill="1" applyBorder="1" applyAlignment="1">
      <alignment horizontal="center"/>
      <protection/>
    </xf>
    <xf numFmtId="0" fontId="68" fillId="24" borderId="26" xfId="77" applyFont="1" applyFill="1" applyBorder="1" applyAlignment="1">
      <alignment horizontal="center"/>
      <protection/>
    </xf>
    <xf numFmtId="0" fontId="21" fillId="0" borderId="33" xfId="85" applyFont="1" applyBorder="1" applyAlignment="1" applyProtection="1">
      <alignment horizontal="center" wrapText="1"/>
      <protection hidden="1"/>
    </xf>
    <xf numFmtId="0" fontId="21" fillId="0" borderId="31" xfId="85" applyFont="1" applyBorder="1" applyAlignment="1" applyProtection="1">
      <alignment horizontal="center" wrapText="1"/>
      <protection hidden="1"/>
    </xf>
    <xf numFmtId="0" fontId="25" fillId="27" borderId="33" xfId="85" applyFont="1" applyFill="1" applyBorder="1" applyAlignment="1" applyProtection="1">
      <alignment horizontal="center"/>
      <protection hidden="1"/>
    </xf>
    <xf numFmtId="0" fontId="68" fillId="27" borderId="25" xfId="85" applyFont="1" applyFill="1" applyBorder="1" applyAlignment="1">
      <alignment horizontal="left" vertical="top" wrapText="1"/>
      <protection/>
    </xf>
    <xf numFmtId="0" fontId="68" fillId="27" borderId="0" xfId="85" applyFont="1" applyFill="1" applyBorder="1" applyAlignment="1">
      <alignment horizontal="left" vertical="top" wrapText="1"/>
      <protection/>
    </xf>
    <xf numFmtId="0" fontId="25" fillId="0" borderId="0" xfId="85" applyFont="1" applyAlignment="1" applyProtection="1">
      <alignment horizontal="center" wrapText="1"/>
      <protection hidden="1"/>
    </xf>
    <xf numFmtId="182" fontId="10" fillId="0" borderId="34" xfId="85" applyNumberFormat="1" applyFont="1" applyBorder="1" applyAlignment="1" applyProtection="1">
      <alignment horizontal="center" vertical="center" wrapText="1"/>
      <protection hidden="1"/>
    </xf>
    <xf numFmtId="182" fontId="10" fillId="0" borderId="56" xfId="85" applyNumberFormat="1" applyFont="1" applyBorder="1" applyAlignment="1" applyProtection="1">
      <alignment horizontal="center" vertical="center" wrapText="1"/>
      <protection hidden="1"/>
    </xf>
    <xf numFmtId="182" fontId="10" fillId="0" borderId="55" xfId="85" applyNumberFormat="1" applyFont="1" applyBorder="1" applyAlignment="1" applyProtection="1">
      <alignment horizontal="center" vertical="center" wrapText="1"/>
      <protection hidden="1"/>
    </xf>
    <xf numFmtId="182" fontId="10" fillId="0" borderId="30" xfId="85" applyNumberFormat="1" applyFont="1" applyBorder="1" applyAlignment="1" applyProtection="1">
      <alignment horizontal="center" vertical="center" wrapText="1"/>
      <protection hidden="1"/>
    </xf>
    <xf numFmtId="182" fontId="10" fillId="0" borderId="28" xfId="85" applyNumberFormat="1" applyFont="1" applyBorder="1" applyAlignment="1" applyProtection="1">
      <alignment horizontal="center" vertical="center" wrapText="1"/>
      <protection hidden="1"/>
    </xf>
    <xf numFmtId="182" fontId="10" fillId="0" borderId="29" xfId="85" applyNumberFormat="1" applyFont="1" applyBorder="1" applyAlignment="1" applyProtection="1">
      <alignment horizontal="center" vertical="center" wrapText="1"/>
      <protection hidden="1"/>
    </xf>
    <xf numFmtId="0" fontId="27" fillId="0" borderId="0" xfId="85" applyFont="1" applyFill="1" applyAlignment="1">
      <alignment horizontal="left"/>
      <protection/>
    </xf>
    <xf numFmtId="0" fontId="121" fillId="0" borderId="0" xfId="85" applyNumberFormat="1" applyFont="1" applyFill="1" applyProtection="1">
      <alignment/>
      <protection hidden="1"/>
    </xf>
    <xf numFmtId="182" fontId="3" fillId="24" borderId="0" xfId="85" applyNumberFormat="1" applyFont="1" applyFill="1" applyBorder="1" applyProtection="1">
      <alignment/>
      <protection hidden="1"/>
    </xf>
    <xf numFmtId="2" fontId="3" fillId="27" borderId="0" xfId="85" applyNumberFormat="1" applyFont="1" applyFill="1" applyBorder="1" applyProtection="1">
      <alignment/>
      <protection hidden="1"/>
    </xf>
    <xf numFmtId="182" fontId="3" fillId="27" borderId="0" xfId="85" applyNumberFormat="1" applyFont="1" applyFill="1" applyBorder="1" applyProtection="1">
      <alignment/>
      <protection hidden="1"/>
    </xf>
    <xf numFmtId="182" fontId="20" fillId="24" borderId="0" xfId="85" applyNumberFormat="1" applyFont="1" applyFill="1" applyAlignment="1" applyProtection="1">
      <alignment horizontal="left"/>
      <protection hidden="1"/>
    </xf>
    <xf numFmtId="0" fontId="12" fillId="27" borderId="0" xfId="85" applyFont="1" applyFill="1" applyAlignment="1" applyProtection="1">
      <alignment horizontal="right"/>
      <protection hidden="1"/>
    </xf>
    <xf numFmtId="1" fontId="3" fillId="24" borderId="0" xfId="85" applyNumberFormat="1" applyFont="1" applyFill="1" applyBorder="1" applyProtection="1">
      <alignment/>
      <protection hidden="1"/>
    </xf>
    <xf numFmtId="0" fontId="13" fillId="27" borderId="0" xfId="85" applyFont="1" applyFill="1" applyAlignment="1" applyProtection="1">
      <alignment horizontal="left"/>
      <protection hidden="1"/>
    </xf>
    <xf numFmtId="182" fontId="3" fillId="24" borderId="0" xfId="85" applyNumberFormat="1" applyFont="1" applyFill="1" applyProtection="1">
      <alignment/>
      <protection hidden="1"/>
    </xf>
    <xf numFmtId="2" fontId="3" fillId="24" borderId="0" xfId="85" applyNumberFormat="1" applyFont="1" applyFill="1" applyProtection="1">
      <alignment/>
      <protection hidden="1"/>
    </xf>
    <xf numFmtId="2" fontId="3" fillId="27" borderId="0" xfId="85" applyNumberFormat="1" applyFont="1" applyFill="1" applyAlignment="1" applyProtection="1">
      <alignment horizontal="left"/>
      <protection hidden="1"/>
    </xf>
    <xf numFmtId="1" fontId="13" fillId="24" borderId="0" xfId="85" applyNumberFormat="1" applyFont="1" applyFill="1" applyProtection="1">
      <alignment/>
      <protection hidden="1"/>
    </xf>
    <xf numFmtId="9" fontId="75" fillId="27" borderId="25" xfId="100" applyFont="1" applyFill="1" applyBorder="1" applyAlignment="1">
      <alignment vertical="top" wrapText="1"/>
      <protection/>
    </xf>
    <xf numFmtId="9" fontId="75" fillId="27" borderId="0" xfId="100" applyFont="1" applyFill="1" applyBorder="1" applyAlignment="1">
      <alignment vertical="top" wrapText="1"/>
      <protection/>
    </xf>
    <xf numFmtId="0" fontId="27" fillId="0" borderId="0" xfId="85" applyFont="1" applyBorder="1" applyAlignment="1" applyProtection="1">
      <alignment horizontal="center"/>
      <protection hidden="1"/>
    </xf>
    <xf numFmtId="0" fontId="10" fillId="27" borderId="0" xfId="85" applyFont="1" applyFill="1" applyAlignment="1" applyProtection="1">
      <alignment horizontal="right"/>
      <protection hidden="1"/>
    </xf>
    <xf numFmtId="0" fontId="3" fillId="27" borderId="0" xfId="77" applyFont="1" applyFill="1" applyBorder="1" applyAlignment="1" applyProtection="1">
      <alignment horizontal="left"/>
      <protection hidden="1"/>
    </xf>
    <xf numFmtId="0" fontId="3" fillId="24" borderId="0" xfId="85" applyFont="1" applyFill="1" applyAlignment="1" applyProtection="1">
      <alignment horizontal="left"/>
      <protection hidden="1"/>
    </xf>
    <xf numFmtId="182" fontId="3" fillId="27" borderId="0" xfId="85" applyNumberFormat="1" applyFont="1" applyFill="1" applyAlignment="1" applyProtection="1">
      <alignment horizontal="left"/>
      <protection hidden="1"/>
    </xf>
    <xf numFmtId="0" fontId="124" fillId="27" borderId="0" xfId="0" applyFont="1" applyFill="1" applyAlignment="1">
      <alignment horizontal="right" textRotation="90" wrapText="1"/>
    </xf>
    <xf numFmtId="0" fontId="28" fillId="27" borderId="0" xfId="77" applyFont="1" applyFill="1" applyAlignment="1" applyProtection="1">
      <alignment horizontal="right"/>
      <protection hidden="1"/>
    </xf>
    <xf numFmtId="0" fontId="75" fillId="27" borderId="0" xfId="85" applyFont="1" applyFill="1" applyProtection="1">
      <alignment/>
      <protection hidden="1"/>
    </xf>
    <xf numFmtId="2" fontId="3" fillId="27" borderId="0" xfId="85" applyNumberFormat="1" applyFont="1" applyFill="1" applyBorder="1" applyAlignment="1" applyProtection="1">
      <alignment horizontal="left"/>
      <protection hidden="1"/>
    </xf>
    <xf numFmtId="2" fontId="3" fillId="24" borderId="0" xfId="85" applyNumberFormat="1" applyFont="1" applyFill="1" applyBorder="1" applyProtection="1">
      <alignment/>
      <protection hidden="1"/>
    </xf>
    <xf numFmtId="0" fontId="75" fillId="27" borderId="0" xfId="85" applyFont="1" applyFill="1" applyAlignment="1" applyProtection="1">
      <alignment horizontal="right"/>
      <protection hidden="1"/>
    </xf>
    <xf numFmtId="0" fontId="27" fillId="27" borderId="0" xfId="85" applyFont="1" applyFill="1" applyProtection="1">
      <alignment/>
      <protection hidden="1"/>
    </xf>
    <xf numFmtId="0" fontId="95" fillId="0" borderId="13" xfId="0" applyFont="1" applyBorder="1" applyAlignment="1">
      <alignment/>
    </xf>
    <xf numFmtId="0" fontId="95" fillId="0" borderId="0" xfId="0" applyFont="1" applyAlignment="1">
      <alignment/>
    </xf>
    <xf numFmtId="0" fontId="95" fillId="0" borderId="27" xfId="0" applyFont="1" applyBorder="1" applyAlignment="1">
      <alignment/>
    </xf>
    <xf numFmtId="0" fontId="3" fillId="27" borderId="0" xfId="85" applyFont="1" applyFill="1" applyAlignment="1">
      <alignment horizontal="right"/>
      <protection/>
    </xf>
    <xf numFmtId="0" fontId="3" fillId="24" borderId="0" xfId="96" applyFont="1" applyFill="1" applyAlignment="1" applyProtection="1">
      <alignment horizontal="right"/>
      <protection hidden="1"/>
    </xf>
    <xf numFmtId="0" fontId="3" fillId="27" borderId="0" xfId="85" applyFont="1" applyFill="1" applyAlignment="1" applyProtection="1">
      <alignment horizontal="right"/>
      <protection hidden="1"/>
    </xf>
    <xf numFmtId="0" fontId="3" fillId="27" borderId="0" xfId="77" applyFont="1" applyFill="1" applyAlignment="1" applyProtection="1">
      <alignment horizontal="right"/>
      <protection hidden="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14" fillId="24" borderId="14" xfId="85" applyFont="1" applyFill="1" applyBorder="1" applyAlignment="1" applyProtection="1">
      <alignment horizontal="left"/>
      <protection hidden="1"/>
    </xf>
    <xf numFmtId="0" fontId="14" fillId="24" borderId="21" xfId="85" applyFont="1" applyFill="1" applyBorder="1" applyAlignment="1" applyProtection="1">
      <alignment horizontal="left"/>
      <protection hidden="1"/>
    </xf>
    <xf numFmtId="0" fontId="29" fillId="0" borderId="12" xfId="65" applyBorder="1" applyAlignment="1" applyProtection="1">
      <alignment/>
      <protection hidden="1"/>
    </xf>
    <xf numFmtId="0" fontId="29" fillId="0" borderId="18" xfId="65" applyBorder="1" applyAlignment="1" applyProtection="1">
      <alignment/>
      <protection hidden="1"/>
    </xf>
    <xf numFmtId="0" fontId="13" fillId="0" borderId="13" xfId="85" applyFont="1" applyBorder="1" applyAlignment="1" applyProtection="1">
      <alignment horizontal="left" vertical="top" wrapText="1"/>
      <protection hidden="1"/>
    </xf>
    <xf numFmtId="0" fontId="13" fillId="0" borderId="0" xfId="85" applyFont="1" applyAlignment="1" applyProtection="1">
      <alignment horizontal="left" vertical="top" wrapText="1"/>
      <protection hidden="1"/>
    </xf>
    <xf numFmtId="0" fontId="13" fillId="0" borderId="27" xfId="85" applyFont="1" applyBorder="1" applyAlignment="1" applyProtection="1">
      <alignment horizontal="left" vertical="top" wrapText="1"/>
      <protection hidden="1"/>
    </xf>
    <xf numFmtId="0" fontId="3" fillId="27" borderId="13" xfId="85" applyFont="1" applyFill="1" applyBorder="1" applyAlignment="1">
      <alignment horizontal="left" vertical="center" textRotation="90"/>
      <protection/>
    </xf>
    <xf numFmtId="0" fontId="36" fillId="27" borderId="0" xfId="76" applyFont="1" applyFill="1" applyProtection="1">
      <alignment/>
      <protection hidden="1"/>
    </xf>
    <xf numFmtId="0" fontId="3" fillId="27" borderId="12" xfId="0" applyFont="1" applyFill="1" applyBorder="1" applyAlignment="1">
      <alignment vertical="top"/>
    </xf>
    <xf numFmtId="0" fontId="3" fillId="27" borderId="18" xfId="0" applyFont="1" applyFill="1" applyBorder="1" applyAlignment="1">
      <alignment vertical="top"/>
    </xf>
    <xf numFmtId="0" fontId="3" fillId="27" borderId="14" xfId="0" applyFont="1" applyFill="1" applyBorder="1" applyAlignment="1">
      <alignment vertical="top"/>
    </xf>
    <xf numFmtId="0" fontId="3" fillId="27" borderId="21" xfId="0" applyFont="1" applyFill="1" applyBorder="1" applyAlignment="1">
      <alignment vertical="top"/>
    </xf>
    <xf numFmtId="0" fontId="3" fillId="22" borderId="11" xfId="0" applyFont="1" applyFill="1" applyBorder="1" applyAlignment="1" applyProtection="1">
      <alignment/>
      <protection locked="0"/>
    </xf>
    <xf numFmtId="0" fontId="3" fillId="22" borderId="16" xfId="0" applyFont="1" applyFill="1" applyBorder="1" applyAlignment="1" applyProtection="1">
      <alignment/>
      <protection locked="0"/>
    </xf>
    <xf numFmtId="0" fontId="18" fillId="27" borderId="15" xfId="0" applyFont="1" applyFill="1" applyBorder="1" applyAlignment="1">
      <alignment horizontal="center" vertical="top"/>
    </xf>
    <xf numFmtId="0" fontId="18" fillId="27" borderId="20" xfId="0" applyFont="1" applyFill="1" applyBorder="1" applyAlignment="1">
      <alignment horizontal="center" vertical="top"/>
    </xf>
    <xf numFmtId="0" fontId="121" fillId="0" borderId="0" xfId="85" applyNumberFormat="1" applyFont="1" applyFill="1" applyAlignment="1">
      <alignment/>
      <protection/>
    </xf>
    <xf numFmtId="0" fontId="13" fillId="24" borderId="19" xfId="85" applyFont="1" applyFill="1" applyBorder="1" applyAlignment="1" applyProtection="1">
      <alignment horizontal="left" vertical="top" wrapText="1"/>
      <protection hidden="1"/>
    </xf>
    <xf numFmtId="0" fontId="13" fillId="24" borderId="0" xfId="85" applyFont="1" applyFill="1" applyAlignment="1" applyProtection="1">
      <alignment horizontal="left" vertical="top" wrapText="1"/>
      <protection hidden="1"/>
    </xf>
    <xf numFmtId="0" fontId="27" fillId="24" borderId="0" xfId="85" applyFont="1" applyFill="1" applyAlignment="1" applyProtection="1">
      <alignment horizontal="left" vertical="center"/>
      <protection hidden="1"/>
    </xf>
    <xf numFmtId="0" fontId="16" fillId="24" borderId="0" xfId="83" applyFont="1" applyFill="1">
      <alignment/>
      <protection/>
    </xf>
    <xf numFmtId="0" fontId="93" fillId="27" borderId="0" xfId="67" applyFont="1" applyFill="1" applyAlignment="1" applyProtection="1">
      <alignment horizontal="right" textRotation="90" wrapText="1"/>
      <protection/>
    </xf>
    <xf numFmtId="0" fontId="17" fillId="24" borderId="0" xfId="68" applyFont="1" applyFill="1" applyAlignment="1" applyProtection="1">
      <alignment horizontal="left"/>
      <protection hidden="1"/>
    </xf>
    <xf numFmtId="0" fontId="17" fillId="27" borderId="0" xfId="68" applyFont="1" applyFill="1" applyAlignment="1" applyProtection="1">
      <alignment horizontal="left"/>
      <protection/>
    </xf>
    <xf numFmtId="0" fontId="3" fillId="27" borderId="0" xfId="0" applyFont="1" applyFill="1" applyAlignment="1">
      <alignment vertical="top" wrapText="1"/>
    </xf>
    <xf numFmtId="0" fontId="3" fillId="24" borderId="13" xfId="85" applyFont="1" applyFill="1" applyBorder="1" applyProtection="1">
      <alignment/>
      <protection hidden="1"/>
    </xf>
    <xf numFmtId="0" fontId="3" fillId="24" borderId="27" xfId="85" applyFont="1" applyFill="1" applyBorder="1" applyProtection="1">
      <alignment/>
      <protection hidden="1"/>
    </xf>
    <xf numFmtId="0" fontId="3" fillId="27" borderId="13" xfId="85" applyFont="1" applyFill="1" applyBorder="1" applyAlignment="1">
      <alignment horizontal="left" vertical="center" textRotation="90" wrapText="1"/>
      <protection/>
    </xf>
    <xf numFmtId="0" fontId="75" fillId="27" borderId="25" xfId="85" applyFont="1" applyFill="1" applyBorder="1" applyProtection="1">
      <alignment/>
      <protection hidden="1"/>
    </xf>
    <xf numFmtId="0" fontId="75" fillId="27" borderId="26" xfId="85" applyFont="1" applyFill="1" applyBorder="1" applyProtection="1">
      <alignment/>
      <protection hidden="1"/>
    </xf>
    <xf numFmtId="0" fontId="75" fillId="27" borderId="1" xfId="85" applyFont="1" applyFill="1" applyBorder="1" applyProtection="1">
      <alignment/>
      <protection hidden="1"/>
    </xf>
    <xf numFmtId="0" fontId="75" fillId="27" borderId="34" xfId="85" applyFont="1" applyFill="1" applyBorder="1" applyProtection="1">
      <alignment/>
      <protection hidden="1"/>
    </xf>
    <xf numFmtId="0" fontId="75" fillId="27" borderId="55" xfId="85" applyFont="1" applyFill="1" applyBorder="1" applyProtection="1">
      <alignment/>
      <protection hidden="1"/>
    </xf>
    <xf numFmtId="0" fontId="36" fillId="27" borderId="0" xfId="85" applyFont="1" applyFill="1" applyAlignment="1">
      <alignment horizontal="left" vertical="top"/>
      <protection/>
    </xf>
    <xf numFmtId="0" fontId="3" fillId="27" borderId="0" xfId="77" applyFont="1" applyFill="1" applyProtection="1">
      <alignment/>
      <protection hidden="1"/>
    </xf>
    <xf numFmtId="0" fontId="69" fillId="0" borderId="19" xfId="65" applyFont="1" applyBorder="1" applyAlignment="1" applyProtection="1">
      <alignment vertical="top" wrapText="1"/>
      <protection hidden="1"/>
    </xf>
    <xf numFmtId="0" fontId="69" fillId="0" borderId="0" xfId="65" applyFont="1" applyAlignment="1" applyProtection="1">
      <alignment vertical="top" wrapText="1"/>
      <protection hidden="1"/>
    </xf>
    <xf numFmtId="0" fontId="78" fillId="24" borderId="14" xfId="85" applyFont="1" applyFill="1" applyBorder="1" applyAlignment="1" applyProtection="1">
      <alignment horizontal="center"/>
      <protection hidden="1"/>
    </xf>
    <xf numFmtId="0" fontId="78" fillId="24" borderId="21" xfId="85" applyFont="1" applyFill="1" applyBorder="1" applyAlignment="1" applyProtection="1">
      <alignment horizontal="center"/>
      <protection hidden="1"/>
    </xf>
    <xf numFmtId="0" fontId="36" fillId="27" borderId="0" xfId="85" applyFont="1" applyFill="1" applyAlignment="1" applyProtection="1">
      <alignment horizontal="left" wrapText="1"/>
      <protection hidden="1"/>
    </xf>
    <xf numFmtId="0" fontId="0" fillId="0" borderId="22" xfId="0" applyFont="1" applyBorder="1" applyAlignment="1">
      <alignment/>
    </xf>
    <xf numFmtId="0" fontId="0" fillId="24" borderId="13" xfId="85" applyFont="1" applyFill="1" applyBorder="1" applyProtection="1">
      <alignment/>
      <protection hidden="1"/>
    </xf>
    <xf numFmtId="0" fontId="0" fillId="24" borderId="0" xfId="85" applyFont="1" applyFill="1" applyProtection="1">
      <alignment/>
      <protection hidden="1"/>
    </xf>
    <xf numFmtId="0" fontId="3" fillId="24" borderId="22" xfId="85" applyFont="1" applyFill="1" applyBorder="1" applyProtection="1">
      <alignment/>
      <protection hidden="1"/>
    </xf>
    <xf numFmtId="0" fontId="3" fillId="24" borderId="21" xfId="85" applyFont="1" applyFill="1" applyBorder="1" applyProtection="1">
      <alignment/>
      <protection hidden="1"/>
    </xf>
    <xf numFmtId="0" fontId="68" fillId="24" borderId="34" xfId="77" applyFont="1" applyFill="1" applyBorder="1" applyAlignment="1">
      <alignment horizontal="center" vertical="center" wrapText="1"/>
      <protection/>
    </xf>
    <xf numFmtId="0" fontId="68" fillId="24" borderId="55" xfId="77" applyFont="1" applyFill="1" applyBorder="1" applyAlignment="1">
      <alignment horizontal="center" vertical="center" wrapText="1"/>
      <protection/>
    </xf>
    <xf numFmtId="0" fontId="68" fillId="24" borderId="30" xfId="77" applyFont="1" applyFill="1" applyBorder="1" applyAlignment="1">
      <alignment horizontal="center" vertical="center" wrapText="1"/>
      <protection/>
    </xf>
    <xf numFmtId="0" fontId="68" fillId="24" borderId="29" xfId="77" applyFont="1" applyFill="1" applyBorder="1" applyAlignment="1">
      <alignment horizontal="center" vertical="center" wrapText="1"/>
      <protection/>
    </xf>
    <xf numFmtId="0" fontId="18" fillId="27" borderId="0" xfId="85" applyNumberFormat="1" applyFont="1" applyFill="1" applyProtection="1">
      <alignment/>
      <protection hidden="1"/>
    </xf>
    <xf numFmtId="0" fontId="18" fillId="27" borderId="0" xfId="85" applyNumberFormat="1" applyFill="1" applyProtection="1">
      <alignment/>
      <protection hidden="1"/>
    </xf>
    <xf numFmtId="0" fontId="36" fillId="24" borderId="0" xfId="0" applyFont="1" applyFill="1" applyAlignment="1">
      <alignment/>
    </xf>
    <xf numFmtId="0" fontId="27" fillId="24" borderId="0" xfId="85" applyFont="1" applyFill="1" applyProtection="1">
      <alignment/>
      <protection hidden="1"/>
    </xf>
    <xf numFmtId="0" fontId="21" fillId="24" borderId="0" xfId="85" applyNumberFormat="1" applyFont="1" applyFill="1" applyAlignment="1" applyProtection="1">
      <alignment horizontal="right"/>
      <protection hidden="1"/>
    </xf>
    <xf numFmtId="0" fontId="21" fillId="24" borderId="26" xfId="85" applyNumberFormat="1" applyFont="1" applyFill="1" applyBorder="1" applyAlignment="1" applyProtection="1">
      <alignment horizontal="right"/>
      <protection hidden="1"/>
    </xf>
    <xf numFmtId="0" fontId="3" fillId="24" borderId="0" xfId="85" applyNumberFormat="1" applyFont="1" applyFill="1" applyProtection="1">
      <alignment/>
      <protection hidden="1"/>
    </xf>
    <xf numFmtId="0" fontId="3" fillId="24" borderId="0" xfId="85" applyNumberFormat="1" applyFont="1" applyFill="1" applyBorder="1" applyProtection="1">
      <alignment/>
      <protection hidden="1"/>
    </xf>
    <xf numFmtId="1" fontId="21" fillId="24" borderId="57" xfId="85" applyNumberFormat="1" applyFont="1" applyFill="1" applyBorder="1" applyAlignment="1" applyProtection="1">
      <alignment horizontal="center"/>
      <protection hidden="1"/>
    </xf>
    <xf numFmtId="1" fontId="21" fillId="24" borderId="58" xfId="85" applyNumberFormat="1" applyFont="1" applyFill="1" applyBorder="1" applyAlignment="1" applyProtection="1">
      <alignment horizontal="center"/>
      <protection hidden="1"/>
    </xf>
    <xf numFmtId="1" fontId="21" fillId="24" borderId="59" xfId="85" applyNumberFormat="1" applyFont="1" applyFill="1" applyBorder="1" applyAlignment="1" applyProtection="1">
      <alignment horizontal="center"/>
      <protection hidden="1"/>
    </xf>
    <xf numFmtId="0" fontId="21" fillId="24" borderId="0" xfId="85" applyFont="1" applyFill="1" applyAlignment="1" applyProtection="1">
      <alignment horizontal="right"/>
      <protection hidden="1"/>
    </xf>
    <xf numFmtId="0" fontId="21" fillId="24" borderId="26" xfId="85" applyFont="1" applyFill="1" applyBorder="1" applyAlignment="1" applyProtection="1">
      <alignment horizontal="right"/>
      <protection hidden="1"/>
    </xf>
    <xf numFmtId="0" fontId="3" fillId="24" borderId="0" xfId="0" applyFont="1" applyFill="1" applyAlignment="1">
      <alignment horizontal="center"/>
    </xf>
    <xf numFmtId="0" fontId="3" fillId="24" borderId="26" xfId="0" applyFont="1" applyFill="1" applyBorder="1" applyAlignment="1">
      <alignment horizontal="center"/>
    </xf>
    <xf numFmtId="1" fontId="21" fillId="24" borderId="33" xfId="85" applyNumberFormat="1" applyFont="1" applyFill="1" applyBorder="1" applyAlignment="1" applyProtection="1">
      <alignment horizontal="center"/>
      <protection hidden="1"/>
    </xf>
    <xf numFmtId="0" fontId="12" fillId="0" borderId="24" xfId="85" applyFont="1" applyBorder="1" applyAlignment="1" applyProtection="1">
      <alignment horizontal="center" wrapText="1"/>
      <protection hidden="1"/>
    </xf>
    <xf numFmtId="0" fontId="19" fillId="0" borderId="0" xfId="65" applyNumberFormat="1" applyFont="1" applyAlignment="1" applyProtection="1">
      <alignment/>
      <protection hidden="1"/>
    </xf>
    <xf numFmtId="0" fontId="72" fillId="27" borderId="28" xfId="85" applyFont="1" applyFill="1" applyBorder="1" applyProtection="1">
      <alignment/>
      <protection hidden="1"/>
    </xf>
    <xf numFmtId="0" fontId="4" fillId="24" borderId="0" xfId="85" applyFont="1" applyFill="1" applyAlignment="1" applyProtection="1">
      <alignment horizontal="right"/>
      <protection hidden="1"/>
    </xf>
    <xf numFmtId="0" fontId="17" fillId="24" borderId="0" xfId="68" applyFont="1" applyFill="1" applyAlignment="1" applyProtection="1">
      <alignment horizontal="right"/>
      <protection hidden="1"/>
    </xf>
    <xf numFmtId="0" fontId="138" fillId="24" borderId="0" xfId="85" applyFont="1" applyFill="1" applyAlignment="1" applyProtection="1">
      <alignment horizontal="center"/>
      <protection hidden="1"/>
    </xf>
    <xf numFmtId="0" fontId="74" fillId="24" borderId="0" xfId="85" applyFont="1" applyFill="1" applyProtection="1">
      <alignment/>
      <protection hidden="1"/>
    </xf>
    <xf numFmtId="0" fontId="111" fillId="22" borderId="0" xfId="83" applyFont="1" applyFill="1" applyAlignment="1" applyProtection="1">
      <alignment horizontal="left"/>
      <protection locked="0"/>
    </xf>
    <xf numFmtId="0" fontId="3" fillId="24" borderId="0" xfId="85" applyFont="1" applyFill="1" applyBorder="1" applyAlignment="1" applyProtection="1">
      <alignment vertical="center"/>
      <protection hidden="1"/>
    </xf>
    <xf numFmtId="0" fontId="24" fillId="24" borderId="0" xfId="85" applyFont="1" applyFill="1" applyAlignment="1">
      <alignment vertical="top" wrapText="1"/>
      <protection/>
    </xf>
    <xf numFmtId="0" fontId="3" fillId="24" borderId="0" xfId="85" applyFont="1" applyFill="1" applyBorder="1" applyAlignment="1" applyProtection="1">
      <alignment horizontal="left"/>
      <protection hidden="1"/>
    </xf>
    <xf numFmtId="0" fontId="19" fillId="0" borderId="13" xfId="65" applyFont="1" applyBorder="1" applyAlignment="1" applyProtection="1">
      <alignment/>
      <protection hidden="1"/>
    </xf>
    <xf numFmtId="0" fontId="19" fillId="0" borderId="27" xfId="65" applyFont="1" applyBorder="1" applyAlignment="1" applyProtection="1">
      <alignment/>
      <protection hidden="1"/>
    </xf>
    <xf numFmtId="0" fontId="0" fillId="27" borderId="14" xfId="0" applyFont="1" applyFill="1" applyBorder="1" applyAlignment="1" applyProtection="1">
      <alignment/>
      <protection hidden="1"/>
    </xf>
    <xf numFmtId="0" fontId="0" fillId="27" borderId="21" xfId="0" applyFont="1" applyFill="1" applyBorder="1" applyAlignment="1" applyProtection="1">
      <alignment/>
      <protection hidden="1"/>
    </xf>
    <xf numFmtId="0" fontId="19" fillId="24" borderId="0" xfId="65" applyNumberFormat="1" applyFont="1" applyFill="1" applyAlignment="1" applyProtection="1">
      <alignment/>
      <protection hidden="1"/>
    </xf>
    <xf numFmtId="0" fontId="21" fillId="0" borderId="0" xfId="77" applyFont="1" applyProtection="1">
      <alignment/>
      <protection hidden="1"/>
    </xf>
    <xf numFmtId="0" fontId="68" fillId="24" borderId="33" xfId="78" applyFont="1" applyFill="1" applyBorder="1" applyAlignment="1">
      <alignment horizontal="center" vertical="center" wrapText="1"/>
      <protection/>
    </xf>
    <xf numFmtId="0" fontId="68" fillId="24" borderId="31" xfId="78" applyFont="1" applyFill="1" applyBorder="1" applyAlignment="1">
      <alignment horizontal="center" vertical="center" wrapText="1"/>
      <protection/>
    </xf>
    <xf numFmtId="0" fontId="118" fillId="0" borderId="25" xfId="0" applyFont="1" applyBorder="1" applyAlignment="1" applyProtection="1">
      <alignment/>
      <protection hidden="1"/>
    </xf>
    <xf numFmtId="0" fontId="118" fillId="0" borderId="0" xfId="0" applyFont="1" applyAlignment="1" applyProtection="1">
      <alignment/>
      <protection hidden="1"/>
    </xf>
    <xf numFmtId="0" fontId="119" fillId="0" borderId="0" xfId="77" applyFont="1" applyProtection="1">
      <alignment/>
      <protection hidden="1"/>
    </xf>
    <xf numFmtId="2" fontId="3" fillId="27" borderId="12" xfId="85" applyNumberFormat="1" applyFont="1" applyFill="1" applyBorder="1" applyAlignment="1" applyProtection="1">
      <alignment horizontal="center"/>
      <protection hidden="1"/>
    </xf>
    <xf numFmtId="2" fontId="3" fillId="27" borderId="18" xfId="85" applyNumberFormat="1" applyFont="1" applyFill="1" applyBorder="1" applyAlignment="1" applyProtection="1">
      <alignment horizontal="center"/>
      <protection hidden="1"/>
    </xf>
    <xf numFmtId="182" fontId="3" fillId="27" borderId="0" xfId="85" applyNumberFormat="1" applyFont="1" applyFill="1" applyAlignment="1" applyProtection="1">
      <alignment horizontal="left" vertical="center" wrapText="1"/>
      <protection hidden="1"/>
    </xf>
    <xf numFmtId="0" fontId="36" fillId="27" borderId="0" xfId="0" applyFont="1" applyFill="1" applyAlignment="1" applyProtection="1">
      <alignment/>
      <protection hidden="1"/>
    </xf>
    <xf numFmtId="0" fontId="29" fillId="27" borderId="0" xfId="65" applyFont="1" applyFill="1" applyAlignment="1" applyProtection="1">
      <alignment horizontal="right"/>
      <protection hidden="1"/>
    </xf>
    <xf numFmtId="2" fontId="3" fillId="27" borderId="19" xfId="85" applyNumberFormat="1" applyFont="1" applyFill="1" applyBorder="1" applyAlignment="1" applyProtection="1">
      <alignment horizontal="center"/>
      <protection hidden="1"/>
    </xf>
    <xf numFmtId="0" fontId="3" fillId="24" borderId="22" xfId="85" applyFont="1" applyFill="1" applyBorder="1" applyAlignment="1" applyProtection="1">
      <alignment horizontal="right"/>
      <protection hidden="1"/>
    </xf>
    <xf numFmtId="2" fontId="3" fillId="27" borderId="0" xfId="85" applyNumberFormat="1" applyFont="1" applyFill="1" applyProtection="1">
      <alignment/>
      <protection hidden="1"/>
    </xf>
    <xf numFmtId="0" fontId="3" fillId="24" borderId="0" xfId="77" applyFont="1" applyFill="1" applyAlignment="1" applyProtection="1">
      <alignment horizontal="right"/>
      <protection hidden="1"/>
    </xf>
    <xf numFmtId="0" fontId="36" fillId="27" borderId="0" xfId="77" applyFont="1" applyFill="1" applyAlignment="1">
      <alignment horizontal="left"/>
      <protection/>
    </xf>
    <xf numFmtId="0" fontId="3" fillId="27" borderId="0" xfId="85" applyFont="1" applyFill="1" applyAlignment="1" applyProtection="1">
      <alignment horizontal="center"/>
      <protection hidden="1"/>
    </xf>
    <xf numFmtId="0" fontId="29" fillId="0" borderId="0" xfId="65" applyProtection="1">
      <alignment vertical="top"/>
      <protection hidden="1"/>
    </xf>
    <xf numFmtId="0" fontId="3" fillId="0" borderId="0" xfId="85" applyFont="1" applyAlignment="1" applyProtection="1">
      <alignment horizontal="right"/>
      <protection hidden="1"/>
    </xf>
    <xf numFmtId="182" fontId="3" fillId="27" borderId="0" xfId="85" applyNumberFormat="1" applyFont="1" applyFill="1" applyAlignment="1" applyProtection="1">
      <alignment horizontal="right"/>
      <protection hidden="1"/>
    </xf>
    <xf numFmtId="0" fontId="3" fillId="22" borderId="11" xfId="0" applyFont="1" applyFill="1" applyBorder="1" applyAlignment="1" applyProtection="1">
      <alignment/>
      <protection locked="0"/>
    </xf>
    <xf numFmtId="0" fontId="3" fillId="22" borderId="16" xfId="0" applyFont="1" applyFill="1" applyBorder="1" applyAlignment="1" applyProtection="1">
      <alignment/>
      <protection locked="0"/>
    </xf>
    <xf numFmtId="0" fontId="27" fillId="27" borderId="0" xfId="85" applyFont="1" applyFill="1" applyAlignment="1" applyProtection="1">
      <alignment horizontal="left"/>
      <protection hidden="1"/>
    </xf>
    <xf numFmtId="0" fontId="69" fillId="27" borderId="0" xfId="65" applyFont="1" applyFill="1" applyAlignment="1" applyProtection="1">
      <alignment horizontal="left"/>
      <protection hidden="1"/>
    </xf>
    <xf numFmtId="0" fontId="69" fillId="27" borderId="0" xfId="65" applyFont="1" applyFill="1" applyBorder="1" applyAlignment="1" applyProtection="1">
      <alignment/>
      <protection hidden="1"/>
    </xf>
    <xf numFmtId="0" fontId="126" fillId="27" borderId="0" xfId="95" applyFont="1" applyFill="1" applyAlignment="1" applyProtection="1">
      <alignment horizontal="center"/>
      <protection hidden="1"/>
    </xf>
    <xf numFmtId="0" fontId="125" fillId="27" borderId="0" xfId="0" applyFont="1" applyFill="1" applyAlignment="1" applyProtection="1">
      <alignment/>
      <protection hidden="1"/>
    </xf>
    <xf numFmtId="0" fontId="17" fillId="24" borderId="0" xfId="65" applyFont="1" applyFill="1" applyAlignment="1" applyProtection="1">
      <alignment horizontal="left"/>
      <protection hidden="1"/>
    </xf>
    <xf numFmtId="0" fontId="3" fillId="24" borderId="0" xfId="0" applyFont="1" applyFill="1" applyAlignment="1" applyProtection="1">
      <alignment/>
      <protection hidden="1"/>
    </xf>
    <xf numFmtId="0" fontId="23" fillId="24" borderId="0" xfId="0" applyFont="1" applyFill="1" applyAlignment="1" applyProtection="1">
      <alignment horizontal="left"/>
      <protection hidden="1"/>
    </xf>
    <xf numFmtId="0" fontId="16" fillId="24" borderId="0" xfId="85" applyNumberFormat="1" applyFont="1" applyFill="1" applyAlignment="1" applyProtection="1">
      <alignment horizontal="right"/>
      <protection hidden="1"/>
    </xf>
    <xf numFmtId="0" fontId="16" fillId="24" borderId="0" xfId="85" applyNumberFormat="1" applyFont="1" applyFill="1" applyAlignment="1" applyProtection="1">
      <alignment horizontal="left"/>
      <protection hidden="1"/>
    </xf>
    <xf numFmtId="0" fontId="22" fillId="24" borderId="0" xfId="85" applyFont="1" applyFill="1" applyAlignment="1" applyProtection="1">
      <alignment horizontal="left"/>
      <protection hidden="1"/>
    </xf>
    <xf numFmtId="0" fontId="17" fillId="24" borderId="0" xfId="65" applyFont="1" applyFill="1" applyAlignment="1" applyProtection="1">
      <alignment horizontal="left"/>
      <protection hidden="1"/>
    </xf>
    <xf numFmtId="0" fontId="12" fillId="22" borderId="10" xfId="85" applyFont="1" applyFill="1" applyBorder="1" applyAlignment="1" applyProtection="1">
      <alignment vertical="center" wrapText="1"/>
      <protection locked="0"/>
    </xf>
    <xf numFmtId="0" fontId="4" fillId="27" borderId="0" xfId="0" applyFont="1" applyFill="1" applyAlignment="1" applyProtection="1" quotePrefix="1">
      <alignment/>
      <protection hidden="1"/>
    </xf>
    <xf numFmtId="0" fontId="4" fillId="27" borderId="0" xfId="0" applyFont="1" applyFill="1" applyAlignment="1" applyProtection="1">
      <alignment/>
      <protection hidden="1"/>
    </xf>
    <xf numFmtId="0" fontId="17" fillId="27" borderId="0" xfId="65" applyFont="1" applyFill="1" applyAlignment="1" applyProtection="1">
      <alignment horizontal="right"/>
      <protection hidden="1"/>
    </xf>
    <xf numFmtId="0" fontId="17" fillId="27" borderId="0" xfId="65" applyFont="1" applyFill="1" applyAlignment="1" applyProtection="1">
      <alignment horizontal="right"/>
      <protection hidden="1"/>
    </xf>
    <xf numFmtId="0" fontId="92" fillId="27" borderId="0" xfId="85" applyFont="1" applyFill="1" applyAlignment="1" applyProtection="1">
      <alignment horizontal="center"/>
      <protection hidden="1"/>
    </xf>
    <xf numFmtId="0" fontId="3" fillId="24" borderId="0" xfId="0" applyFont="1" applyFill="1" applyAlignment="1" applyProtection="1">
      <alignment horizontal="right"/>
      <protection hidden="1"/>
    </xf>
    <xf numFmtId="0" fontId="3" fillId="24" borderId="0" xfId="0" applyFont="1" applyFill="1" applyAlignment="1" applyProtection="1">
      <alignment horizontal="left"/>
      <protection hidden="1"/>
    </xf>
    <xf numFmtId="0" fontId="3" fillId="24" borderId="0" xfId="0" applyFont="1" applyFill="1" applyAlignment="1" applyProtection="1">
      <alignment/>
      <protection hidden="1"/>
    </xf>
    <xf numFmtId="0" fontId="0" fillId="24" borderId="13" xfId="0" applyNumberFormat="1" applyFont="1" applyFill="1" applyBorder="1" applyAlignment="1" applyProtection="1">
      <alignment/>
      <protection hidden="1"/>
    </xf>
    <xf numFmtId="0" fontId="0" fillId="24" borderId="0" xfId="0" applyNumberFormat="1" applyFont="1" applyFill="1" applyAlignment="1" applyProtection="1">
      <alignment/>
      <protection hidden="1"/>
    </xf>
    <xf numFmtId="0" fontId="0" fillId="24" borderId="27" xfId="0" applyNumberFormat="1" applyFont="1" applyFill="1" applyBorder="1" applyAlignment="1" applyProtection="1">
      <alignment/>
      <protection hidden="1"/>
    </xf>
    <xf numFmtId="0" fontId="18" fillId="24" borderId="13" xfId="84" applyFont="1" applyFill="1" applyBorder="1" applyProtection="1">
      <alignment/>
      <protection hidden="1"/>
    </xf>
    <xf numFmtId="0" fontId="110" fillId="24" borderId="0" xfId="85" applyNumberFormat="1" applyFont="1" applyFill="1" applyAlignment="1" applyProtection="1">
      <alignment horizontal="center" wrapText="1"/>
      <protection hidden="1"/>
    </xf>
    <xf numFmtId="0" fontId="24" fillId="24" borderId="19" xfId="0" applyNumberFormat="1" applyFont="1" applyFill="1" applyBorder="1" applyAlignment="1" applyProtection="1">
      <alignment horizontal="center" vertical="top" wrapText="1"/>
      <protection hidden="1"/>
    </xf>
    <xf numFmtId="0" fontId="24" fillId="24" borderId="0" xfId="0" applyNumberFormat="1" applyFont="1" applyFill="1" applyAlignment="1" applyProtection="1">
      <alignment horizontal="center" vertical="top" wrapText="1"/>
      <protection hidden="1"/>
    </xf>
    <xf numFmtId="0" fontId="3" fillId="24" borderId="12" xfId="0" applyFont="1" applyFill="1" applyBorder="1" applyAlignment="1" applyProtection="1">
      <alignment/>
      <protection hidden="1"/>
    </xf>
    <xf numFmtId="0" fontId="3" fillId="24" borderId="19" xfId="0" applyFont="1" applyFill="1" applyBorder="1" applyAlignment="1" applyProtection="1">
      <alignment/>
      <protection hidden="1"/>
    </xf>
    <xf numFmtId="0" fontId="3" fillId="24" borderId="18" xfId="0" applyFont="1" applyFill="1" applyBorder="1" applyAlignment="1" applyProtection="1">
      <alignment/>
      <protection hidden="1"/>
    </xf>
    <xf numFmtId="0" fontId="3" fillId="24" borderId="0" xfId="0" applyFont="1" applyFill="1" applyAlignment="1" applyProtection="1">
      <alignment horizontal="left" wrapText="1"/>
      <protection hidden="1"/>
    </xf>
    <xf numFmtId="0" fontId="0" fillId="24" borderId="20" xfId="0" applyNumberFormat="1" applyFont="1" applyFill="1" applyBorder="1" applyAlignment="1" applyProtection="1">
      <alignment/>
      <protection hidden="1"/>
    </xf>
    <xf numFmtId="0" fontId="0" fillId="24" borderId="10" xfId="0" applyNumberFormat="1" applyFont="1" applyFill="1" applyBorder="1" applyAlignment="1" applyProtection="1">
      <alignment/>
      <protection hidden="1"/>
    </xf>
    <xf numFmtId="0" fontId="3" fillId="24" borderId="0" xfId="0" applyFont="1" applyFill="1" applyAlignment="1" applyProtection="1">
      <alignment horizontal="left"/>
      <protection hidden="1"/>
    </xf>
    <xf numFmtId="0" fontId="6" fillId="24" borderId="0" xfId="85" applyFont="1" applyFill="1" applyProtection="1">
      <alignment/>
      <protection hidden="1"/>
    </xf>
    <xf numFmtId="0" fontId="0" fillId="0" borderId="0" xfId="0" applyFont="1" applyAlignment="1">
      <alignment/>
    </xf>
    <xf numFmtId="0" fontId="63" fillId="24" borderId="0" xfId="85" applyFont="1" applyFill="1" applyBorder="1" applyAlignment="1" applyProtection="1">
      <alignment horizontal="center" vertical="center" wrapText="1"/>
      <protection hidden="1"/>
    </xf>
    <xf numFmtId="0" fontId="14" fillId="24" borderId="0" xfId="85" applyFont="1" applyFill="1" applyBorder="1" applyAlignment="1" applyProtection="1">
      <alignment vertical="center"/>
      <protection hidden="1"/>
    </xf>
    <xf numFmtId="0" fontId="70" fillId="24" borderId="0" xfId="85" applyFont="1" applyFill="1" applyAlignment="1" applyProtection="1">
      <alignment horizontal="left"/>
      <protection hidden="1"/>
    </xf>
    <xf numFmtId="0" fontId="3" fillId="24" borderId="0" xfId="85" applyFont="1" applyFill="1" applyAlignment="1" applyProtection="1">
      <alignment vertical="center" wrapText="1"/>
      <protection hidden="1"/>
    </xf>
    <xf numFmtId="0" fontId="14" fillId="24" borderId="0" xfId="85" applyFont="1" applyFill="1" applyAlignment="1" applyProtection="1">
      <alignment horizontal="left"/>
      <protection hidden="1"/>
    </xf>
    <xf numFmtId="0" fontId="12" fillId="24" borderId="0" xfId="85" applyFont="1" applyFill="1" applyAlignment="1" applyProtection="1">
      <alignment horizontal="left"/>
      <protection hidden="1"/>
    </xf>
    <xf numFmtId="1" fontId="12" fillId="24" borderId="0" xfId="85" applyNumberFormat="1" applyFont="1" applyFill="1" applyAlignment="1" applyProtection="1">
      <alignment horizontal="left"/>
      <protection hidden="1"/>
    </xf>
    <xf numFmtId="0" fontId="69" fillId="0" borderId="0" xfId="65" applyFont="1" applyAlignment="1" applyProtection="1">
      <alignment vertical="center" wrapText="1"/>
      <protection hidden="1"/>
    </xf>
    <xf numFmtId="0" fontId="69" fillId="0" borderId="27" xfId="65" applyFont="1" applyBorder="1" applyAlignment="1" applyProtection="1">
      <alignment vertical="center" wrapText="1"/>
      <protection hidden="1"/>
    </xf>
    <xf numFmtId="0" fontId="69" fillId="0" borderId="22" xfId="65" applyFont="1" applyBorder="1" applyAlignment="1" applyProtection="1">
      <alignment vertical="center" wrapText="1"/>
      <protection hidden="1"/>
    </xf>
    <xf numFmtId="0" fontId="69" fillId="0" borderId="21" xfId="65" applyFont="1" applyBorder="1" applyAlignment="1" applyProtection="1">
      <alignment vertical="center" wrapText="1"/>
      <protection hidden="1"/>
    </xf>
    <xf numFmtId="2" fontId="27" fillId="22" borderId="11" xfId="85" applyNumberFormat="1" applyFont="1" applyFill="1" applyBorder="1" applyAlignment="1" applyProtection="1">
      <alignment horizontal="center"/>
      <protection hidden="1"/>
    </xf>
    <xf numFmtId="2" fontId="27" fillId="22" borderId="17" xfId="85" applyNumberFormat="1" applyFont="1" applyFill="1" applyBorder="1" applyAlignment="1" applyProtection="1">
      <alignment horizontal="center"/>
      <protection hidden="1"/>
    </xf>
    <xf numFmtId="2" fontId="27" fillId="22" borderId="16" xfId="85" applyNumberFormat="1" applyFont="1" applyFill="1" applyBorder="1" applyAlignment="1" applyProtection="1">
      <alignment horizontal="center"/>
      <protection hidden="1"/>
    </xf>
    <xf numFmtId="0" fontId="3" fillId="24" borderId="0" xfId="85" applyFont="1" applyFill="1" applyAlignment="1" applyProtection="1">
      <alignment horizontal="left" vertical="center" wrapText="1"/>
      <protection hidden="1"/>
    </xf>
    <xf numFmtId="0" fontId="92" fillId="24" borderId="0" xfId="85" applyFont="1" applyFill="1" applyAlignment="1">
      <alignment horizontal="center"/>
      <protection/>
    </xf>
    <xf numFmtId="0" fontId="115" fillId="22" borderId="0" xfId="85" applyFont="1" applyFill="1" applyProtection="1">
      <alignment/>
      <protection locked="0"/>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_1.4WinrF" xfId="67"/>
    <cellStyle name="Hyperlink_New1.4Winr" xfId="68"/>
    <cellStyle name="Hyperlink_xPetes_YoBrew_Wine,_Jam_etc_Calcs_v1.5_Petes_YoBrew_Wine,_Jam_etc_Calcs_v1.5fXWASTAGE111111111" xfId="69"/>
    <cellStyle name="Input" xfId="70"/>
    <cellStyle name="Linked Cell" xfId="71"/>
    <cellStyle name="Neutral" xfId="72"/>
    <cellStyle name="Normal 2" xfId="73"/>
    <cellStyle name="Normal 3" xfId="74"/>
    <cellStyle name="Normal_)_1.4WinrF" xfId="75"/>
    <cellStyle name="Normal_)_New1.4Winr" xfId="76"/>
    <cellStyle name="Normal_1.4WinrF" xfId="77"/>
    <cellStyle name="Normal_1.4WinrF_Wine Calc" xfId="78"/>
    <cellStyle name="Normal_Beer Kit Calc's Etc_1" xfId="79"/>
    <cellStyle name="Normal_Copy of Acid-Calcs2" xfId="80"/>
    <cellStyle name="Normal_General Calc's" xfId="81"/>
    <cellStyle name="Normal_General Calc's_1" xfId="82"/>
    <cellStyle name="Normal_New1.4Winr" xfId="83"/>
    <cellStyle name="Normal_Peter's B &amp; W Ca" xfId="84"/>
    <cellStyle name="Normal_Pete's YoBrew Ca" xfId="85"/>
    <cellStyle name="Normal_Pete's YoBrew Ca_Beer Kit Calc's Etc" xfId="86"/>
    <cellStyle name="Normal_Pete's YoBrew Ca_General Calc's" xfId="87"/>
    <cellStyle name="Normal_Pete's YoBrew Calcs v1.12" xfId="88"/>
    <cellStyle name="Normal_Pete's YoBrew Calcs v1.2-Excel_)_1.4WinrF" xfId="89"/>
    <cellStyle name="Normal_Pete's YoBrew Calcs v1.2-Excel_1" xfId="90"/>
    <cellStyle name="Normal_Pete's YoBrew Calcs v1.5-WIP" xfId="91"/>
    <cellStyle name="Normal_Pete's YoBrew Calcs v1.5-WIP_1.4WinrF" xfId="92"/>
    <cellStyle name="Normal_Petes_YoBrew_Beer_Calcs_v1.5b" xfId="93"/>
    <cellStyle name="Normal_Primer" xfId="94"/>
    <cellStyle name="Normal_Sheet1_4+ YoBrew Wine, Jam Etc. Calc's (1U)" xfId="95"/>
    <cellStyle name="Normal_YOBREW Beer Prim" xfId="96"/>
    <cellStyle name="Note" xfId="97"/>
    <cellStyle name="Note 2" xfId="98"/>
    <cellStyle name="Output" xfId="99"/>
    <cellStyle name="Percent" xfId="100"/>
    <cellStyle name="Percent 2" xfId="101"/>
    <cellStyle name="Percent 2 2" xfId="102"/>
    <cellStyle name="Percent 2_Beer Kit Calc" xfId="103"/>
    <cellStyle name="Title" xfId="104"/>
    <cellStyle name="Total" xfId="105"/>
    <cellStyle name="Warning Text" xfId="106"/>
  </cellStyles>
  <dxfs count="26">
    <dxf>
      <font>
        <b val="0"/>
        <color indexed="47"/>
      </font>
    </dxf>
    <dxf>
      <font>
        <b val="0"/>
        <color indexed="40"/>
      </font>
    </dxf>
    <dxf>
      <font>
        <color indexed="10"/>
      </font>
    </dxf>
    <dxf>
      <font>
        <color auto="1"/>
      </font>
    </dxf>
    <dxf>
      <fill>
        <patternFill patternType="none">
          <fgColor indexed="64"/>
          <bgColor indexed="65"/>
        </patternFill>
      </fill>
    </dxf>
    <dxf>
      <fill>
        <patternFill patternType="none">
          <fgColor indexed="64"/>
          <bgColor indexed="65"/>
        </patternFill>
      </fill>
    </dxf>
    <dxf>
      <fill>
        <patternFill>
          <fgColor indexed="64"/>
          <bgColor indexed="10"/>
        </patternFill>
      </fill>
    </dxf>
    <dxf>
      <fill>
        <patternFill>
          <fgColor indexed="64"/>
          <bgColor indexed="52"/>
        </patternFill>
      </fill>
    </dxf>
    <dxf>
      <fill>
        <patternFill>
          <fgColor indexed="64"/>
          <bgColor indexed="11"/>
        </patternFill>
      </fill>
    </dxf>
    <dxf>
      <fill>
        <patternFill>
          <fgColor indexed="64"/>
          <bgColor indexed="10"/>
        </patternFill>
      </fill>
    </dxf>
    <dxf>
      <fill>
        <patternFill>
          <fgColor indexed="64"/>
          <bgColor indexed="52"/>
        </patternFill>
      </fill>
    </dxf>
    <dxf>
      <fill>
        <patternFill>
          <fgColor indexed="64"/>
          <bgColor indexed="11"/>
        </patternFill>
      </fill>
    </dxf>
    <dxf>
      <fill>
        <patternFill>
          <bgColor indexed="10"/>
        </patternFill>
      </fill>
    </dxf>
    <dxf>
      <fill>
        <patternFill>
          <bgColor indexed="10"/>
        </patternFill>
      </fill>
    </dxf>
    <dxf>
      <font>
        <b val="0"/>
        <sz val="11"/>
        <color indexed="8"/>
      </font>
      <fill>
        <patternFill patternType="solid">
          <fgColor indexed="60"/>
          <bgColor indexed="10"/>
        </patternFill>
      </fill>
    </dxf>
    <dxf>
      <font>
        <b val="0"/>
        <sz val="11"/>
        <color indexed="8"/>
      </font>
      <fill>
        <patternFill patternType="solid">
          <fgColor indexed="49"/>
          <bgColor indexed="11"/>
        </patternFill>
      </fill>
    </dxf>
    <dxf>
      <font>
        <b val="0"/>
        <sz val="11"/>
        <color indexed="8"/>
      </font>
      <fill>
        <patternFill patternType="solid">
          <fgColor indexed="13"/>
          <bgColor indexed="51"/>
        </patternFill>
      </fill>
    </dxf>
    <dxf>
      <font>
        <b val="0"/>
        <sz val="11"/>
        <color indexed="8"/>
      </font>
      <fill>
        <patternFill patternType="solid">
          <fgColor indexed="60"/>
          <bgColor indexed="10"/>
        </patternFill>
      </fill>
    </dxf>
    <dxf>
      <font>
        <b val="0"/>
        <sz val="11"/>
        <color indexed="8"/>
      </font>
      <fill>
        <patternFill patternType="solid">
          <fgColor indexed="49"/>
          <bgColor indexed="11"/>
        </patternFill>
      </fill>
    </dxf>
    <dxf>
      <font>
        <b val="0"/>
        <sz val="11"/>
        <color indexed="8"/>
      </font>
      <fill>
        <patternFill patternType="solid">
          <fgColor indexed="13"/>
          <bgColor indexed="51"/>
        </patternFill>
      </fill>
    </dxf>
    <dxf>
      <font>
        <b val="0"/>
        <sz val="11"/>
        <color indexed="8"/>
      </font>
      <fill>
        <patternFill patternType="solid">
          <fgColor indexed="60"/>
          <bgColor indexed="10"/>
        </patternFill>
      </fill>
    </dxf>
    <dxf>
      <font>
        <b val="0"/>
        <sz val="11"/>
        <color indexed="8"/>
      </font>
      <fill>
        <patternFill patternType="solid">
          <fgColor indexed="49"/>
          <bgColor indexed="11"/>
        </patternFill>
      </fill>
    </dxf>
    <dxf>
      <font>
        <b val="0"/>
        <sz val="11"/>
        <color indexed="8"/>
      </font>
      <fill>
        <patternFill patternType="solid">
          <fgColor indexed="13"/>
          <bgColor indexed="51"/>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signaturewinesofohio.com/" TargetMode="External" /><Relationship Id="rId3" Type="http://schemas.openxmlformats.org/officeDocument/2006/relationships/hyperlink" Target="http://www.signaturewinesofohio.com/" TargetMode="External" /><Relationship Id="rId4" Type="http://schemas.openxmlformats.org/officeDocument/2006/relationships/image" Target="https://encrypted-tbn2.gstatic.com/images?q=tbn:ANd9GcREucfqX61srBPqlPB-lELHDH9Jqr7RQhckHkNlJI_iNEYf5WYy" TargetMode="External" /><Relationship Id="rId5" Type="http://schemas.openxmlformats.org/officeDocument/2006/relationships/hyperlink" Target="http://www.petespintpot.co.uk/Noises%20For%20The%20Leg,%20Bonzo%20Dog%20Doo-Dah%20Band.mp3" TargetMode="External" /><Relationship Id="rId6" Type="http://schemas.openxmlformats.org/officeDocument/2006/relationships/hyperlink" Target="http://www.petespintpot.co.uk/Noises%20For%20The%20Leg,%20Bonzo%20Dog%20Doo-Dah%20Band.mp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9525</xdr:rowOff>
    </xdr:from>
    <xdr:to>
      <xdr:col>2</xdr:col>
      <xdr:colOff>0</xdr:colOff>
      <xdr:row>45</xdr:row>
      <xdr:rowOff>9525</xdr:rowOff>
    </xdr:to>
    <xdr:sp>
      <xdr:nvSpPr>
        <xdr:cNvPr id="1" name="Line 1"/>
        <xdr:cNvSpPr>
          <a:spLocks/>
        </xdr:cNvSpPr>
      </xdr:nvSpPr>
      <xdr:spPr>
        <a:xfrm flipV="1">
          <a:off x="714375" y="123825"/>
          <a:ext cx="0" cy="10363200"/>
        </a:xfrm>
        <a:prstGeom prst="line">
          <a:avLst/>
        </a:prstGeom>
        <a:noFill/>
        <a:ln w="22225" cmpd="sng">
          <a:solidFill>
            <a:srgbClr val="8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1</xdr:col>
      <xdr:colOff>180975</xdr:colOff>
      <xdr:row>4</xdr:row>
      <xdr:rowOff>190500</xdr:rowOff>
    </xdr:from>
    <xdr:to>
      <xdr:col>1</xdr:col>
      <xdr:colOff>600075</xdr:colOff>
      <xdr:row>10</xdr:row>
      <xdr:rowOff>142875</xdr:rowOff>
    </xdr:to>
    <xdr:pic>
      <xdr:nvPicPr>
        <xdr:cNvPr id="2" name="Picture 10" descr="10_years copy1"/>
        <xdr:cNvPicPr preferRelativeResize="1">
          <a:picLocks noChangeAspect="1"/>
        </xdr:cNvPicPr>
      </xdr:nvPicPr>
      <xdr:blipFill>
        <a:blip r:embed="rId1"/>
        <a:stretch>
          <a:fillRect/>
        </a:stretch>
      </xdr:blipFill>
      <xdr:spPr>
        <a:xfrm>
          <a:off x="247650" y="1104900"/>
          <a:ext cx="419100"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24</xdr:row>
      <xdr:rowOff>0</xdr:rowOff>
    </xdr:from>
    <xdr:ext cx="295275" cy="304800"/>
    <xdr:sp>
      <xdr:nvSpPr>
        <xdr:cNvPr id="1" name="AutoShape 97" descr="Image result for men women"/>
        <xdr:cNvSpPr>
          <a:spLocks noChangeAspect="1"/>
        </xdr:cNvSpPr>
      </xdr:nvSpPr>
      <xdr:spPr>
        <a:xfrm>
          <a:off x="10763250" y="4629150"/>
          <a:ext cx="29527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23</xdr:col>
      <xdr:colOff>0</xdr:colOff>
      <xdr:row>24</xdr:row>
      <xdr:rowOff>0</xdr:rowOff>
    </xdr:from>
    <xdr:ext cx="295275" cy="304800"/>
    <xdr:sp>
      <xdr:nvSpPr>
        <xdr:cNvPr id="2" name="AutoShape 98" descr="Image result for men women"/>
        <xdr:cNvSpPr>
          <a:spLocks noChangeAspect="1"/>
        </xdr:cNvSpPr>
      </xdr:nvSpPr>
      <xdr:spPr>
        <a:xfrm>
          <a:off x="10763250" y="4629150"/>
          <a:ext cx="29527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28</xdr:col>
      <xdr:colOff>247650</xdr:colOff>
      <xdr:row>14</xdr:row>
      <xdr:rowOff>19050</xdr:rowOff>
    </xdr:from>
    <xdr:to>
      <xdr:col>28</xdr:col>
      <xdr:colOff>352425</xdr:colOff>
      <xdr:row>14</xdr:row>
      <xdr:rowOff>180975</xdr:rowOff>
    </xdr:to>
    <xdr:pic>
      <xdr:nvPicPr>
        <xdr:cNvPr id="3" name="Picture 185" descr="mw2"/>
        <xdr:cNvPicPr preferRelativeResize="1">
          <a:picLocks noChangeAspect="1"/>
        </xdr:cNvPicPr>
      </xdr:nvPicPr>
      <xdr:blipFill>
        <a:blip r:embed="rId1"/>
        <a:srcRect r="-7142" b="52174"/>
        <a:stretch>
          <a:fillRect/>
        </a:stretch>
      </xdr:blipFill>
      <xdr:spPr>
        <a:xfrm>
          <a:off x="14744700" y="2743200"/>
          <a:ext cx="104775" cy="161925"/>
        </a:xfrm>
        <a:prstGeom prst="rect">
          <a:avLst/>
        </a:prstGeom>
        <a:noFill/>
        <a:ln w="9525" cmpd="sng">
          <a:noFill/>
        </a:ln>
      </xdr:spPr>
    </xdr:pic>
    <xdr:clientData/>
  </xdr:twoCellAnchor>
  <xdr:twoCellAnchor editAs="oneCell">
    <xdr:from>
      <xdr:col>32</xdr:col>
      <xdr:colOff>209550</xdr:colOff>
      <xdr:row>14</xdr:row>
      <xdr:rowOff>0</xdr:rowOff>
    </xdr:from>
    <xdr:to>
      <xdr:col>32</xdr:col>
      <xdr:colOff>323850</xdr:colOff>
      <xdr:row>14</xdr:row>
      <xdr:rowOff>171450</xdr:rowOff>
    </xdr:to>
    <xdr:pic>
      <xdr:nvPicPr>
        <xdr:cNvPr id="4" name="Picture 186" descr="mw2"/>
        <xdr:cNvPicPr preferRelativeResize="1">
          <a:picLocks noChangeAspect="1"/>
        </xdr:cNvPicPr>
      </xdr:nvPicPr>
      <xdr:blipFill>
        <a:blip r:embed="rId1"/>
        <a:srcRect l="-14285" t="50000"/>
        <a:stretch>
          <a:fillRect/>
        </a:stretch>
      </xdr:blipFill>
      <xdr:spPr>
        <a:xfrm>
          <a:off x="16897350" y="2724150"/>
          <a:ext cx="114300" cy="171450"/>
        </a:xfrm>
        <a:prstGeom prst="rect">
          <a:avLst/>
        </a:prstGeom>
        <a:noFill/>
        <a:ln w="9525" cmpd="sng">
          <a:noFill/>
        </a:ln>
      </xdr:spPr>
    </xdr:pic>
    <xdr:clientData/>
  </xdr:twoCellAnchor>
  <xdr:twoCellAnchor>
    <xdr:from>
      <xdr:col>25</xdr:col>
      <xdr:colOff>209550</xdr:colOff>
      <xdr:row>19</xdr:row>
      <xdr:rowOff>9525</xdr:rowOff>
    </xdr:from>
    <xdr:to>
      <xdr:col>25</xdr:col>
      <xdr:colOff>323850</xdr:colOff>
      <xdr:row>20</xdr:row>
      <xdr:rowOff>171450</xdr:rowOff>
    </xdr:to>
    <xdr:grpSp>
      <xdr:nvGrpSpPr>
        <xdr:cNvPr id="5" name="Group 265"/>
        <xdr:cNvGrpSpPr>
          <a:grpSpLocks/>
        </xdr:cNvGrpSpPr>
      </xdr:nvGrpSpPr>
      <xdr:grpSpPr>
        <a:xfrm>
          <a:off x="13049250" y="3686175"/>
          <a:ext cx="123825" cy="352425"/>
          <a:chOff x="1728" y="447"/>
          <a:chExt cx="16" cy="44"/>
        </a:xfrm>
        <a:solidFill>
          <a:srgbClr val="FFFFFF"/>
        </a:solidFill>
      </xdr:grpSpPr>
      <xdr:pic>
        <xdr:nvPicPr>
          <xdr:cNvPr id="6" name="Picture 184" descr="mw2"/>
          <xdr:cNvPicPr preferRelativeResize="1">
            <a:picLocks noChangeAspect="1"/>
          </xdr:cNvPicPr>
        </xdr:nvPicPr>
        <xdr:blipFill>
          <a:blip r:embed="rId1"/>
          <a:srcRect r="-7142" b="48889"/>
          <a:stretch>
            <a:fillRect/>
          </a:stretch>
        </xdr:blipFill>
        <xdr:spPr>
          <a:xfrm>
            <a:off x="1730" y="447"/>
            <a:ext cx="14" cy="21"/>
          </a:xfrm>
          <a:prstGeom prst="rect">
            <a:avLst/>
          </a:prstGeom>
          <a:noFill/>
          <a:ln w="9525" cmpd="sng">
            <a:noFill/>
          </a:ln>
        </xdr:spPr>
      </xdr:pic>
      <xdr:pic>
        <xdr:nvPicPr>
          <xdr:cNvPr id="7" name="Picture 186" descr="mw2"/>
          <xdr:cNvPicPr preferRelativeResize="1">
            <a:picLocks noChangeAspect="1"/>
          </xdr:cNvPicPr>
        </xdr:nvPicPr>
        <xdr:blipFill>
          <a:blip r:embed="rId1"/>
          <a:srcRect l="-14285" t="50000"/>
          <a:stretch>
            <a:fillRect/>
          </a:stretch>
        </xdr:blipFill>
        <xdr:spPr>
          <a:xfrm>
            <a:off x="1728" y="468"/>
            <a:ext cx="16" cy="23"/>
          </a:xfrm>
          <a:prstGeom prst="rect">
            <a:avLst/>
          </a:prstGeom>
          <a:noFill/>
          <a:ln w="9525" cmpd="sng">
            <a:noFill/>
          </a:ln>
        </xdr:spPr>
      </xdr:pic>
    </xdr:grpSp>
    <xdr:clientData/>
  </xdr:twoCellAnchor>
  <xdr:oneCellAnchor>
    <xdr:from>
      <xdr:col>23</xdr:col>
      <xdr:colOff>0</xdr:colOff>
      <xdr:row>24</xdr:row>
      <xdr:rowOff>0</xdr:rowOff>
    </xdr:from>
    <xdr:ext cx="295275" cy="304800"/>
    <xdr:sp>
      <xdr:nvSpPr>
        <xdr:cNvPr id="8" name="AutoShape 97" descr="Image result for men women"/>
        <xdr:cNvSpPr>
          <a:spLocks noChangeAspect="1"/>
        </xdr:cNvSpPr>
      </xdr:nvSpPr>
      <xdr:spPr>
        <a:xfrm>
          <a:off x="10763250" y="4629150"/>
          <a:ext cx="29527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23</xdr:col>
      <xdr:colOff>0</xdr:colOff>
      <xdr:row>24</xdr:row>
      <xdr:rowOff>0</xdr:rowOff>
    </xdr:from>
    <xdr:ext cx="295275" cy="304800"/>
    <xdr:sp>
      <xdr:nvSpPr>
        <xdr:cNvPr id="9" name="AutoShape 98" descr="Image result for men women"/>
        <xdr:cNvSpPr>
          <a:spLocks noChangeAspect="1"/>
        </xdr:cNvSpPr>
      </xdr:nvSpPr>
      <xdr:spPr>
        <a:xfrm>
          <a:off x="10763250" y="4629150"/>
          <a:ext cx="29527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28</xdr:col>
      <xdr:colOff>247650</xdr:colOff>
      <xdr:row>14</xdr:row>
      <xdr:rowOff>19050</xdr:rowOff>
    </xdr:from>
    <xdr:to>
      <xdr:col>28</xdr:col>
      <xdr:colOff>352425</xdr:colOff>
      <xdr:row>14</xdr:row>
      <xdr:rowOff>180975</xdr:rowOff>
    </xdr:to>
    <xdr:pic>
      <xdr:nvPicPr>
        <xdr:cNvPr id="10" name="Picture 185" descr="mw2"/>
        <xdr:cNvPicPr preferRelativeResize="1">
          <a:picLocks noChangeAspect="1"/>
        </xdr:cNvPicPr>
      </xdr:nvPicPr>
      <xdr:blipFill>
        <a:blip r:embed="rId1"/>
        <a:srcRect r="-7142" b="52174"/>
        <a:stretch>
          <a:fillRect/>
        </a:stretch>
      </xdr:blipFill>
      <xdr:spPr>
        <a:xfrm>
          <a:off x="14744700" y="2743200"/>
          <a:ext cx="104775" cy="161925"/>
        </a:xfrm>
        <a:prstGeom prst="rect">
          <a:avLst/>
        </a:prstGeom>
        <a:noFill/>
        <a:ln w="9525" cmpd="sng">
          <a:noFill/>
        </a:ln>
      </xdr:spPr>
    </xdr:pic>
    <xdr:clientData/>
  </xdr:twoCellAnchor>
  <xdr:twoCellAnchor editAs="oneCell">
    <xdr:from>
      <xdr:col>32</xdr:col>
      <xdr:colOff>209550</xdr:colOff>
      <xdr:row>14</xdr:row>
      <xdr:rowOff>0</xdr:rowOff>
    </xdr:from>
    <xdr:to>
      <xdr:col>32</xdr:col>
      <xdr:colOff>323850</xdr:colOff>
      <xdr:row>14</xdr:row>
      <xdr:rowOff>171450</xdr:rowOff>
    </xdr:to>
    <xdr:pic>
      <xdr:nvPicPr>
        <xdr:cNvPr id="11" name="Picture 186" descr="mw2"/>
        <xdr:cNvPicPr preferRelativeResize="1">
          <a:picLocks noChangeAspect="1"/>
        </xdr:cNvPicPr>
      </xdr:nvPicPr>
      <xdr:blipFill>
        <a:blip r:embed="rId1"/>
        <a:srcRect l="-14285" t="50000"/>
        <a:stretch>
          <a:fillRect/>
        </a:stretch>
      </xdr:blipFill>
      <xdr:spPr>
        <a:xfrm>
          <a:off x="16897350" y="2724150"/>
          <a:ext cx="114300" cy="171450"/>
        </a:xfrm>
        <a:prstGeom prst="rect">
          <a:avLst/>
        </a:prstGeom>
        <a:noFill/>
        <a:ln w="9525" cmpd="sng">
          <a:noFill/>
        </a:ln>
      </xdr:spPr>
    </xdr:pic>
    <xdr:clientData/>
  </xdr:twoCellAnchor>
  <xdr:twoCellAnchor>
    <xdr:from>
      <xdr:col>25</xdr:col>
      <xdr:colOff>209550</xdr:colOff>
      <xdr:row>19</xdr:row>
      <xdr:rowOff>9525</xdr:rowOff>
    </xdr:from>
    <xdr:to>
      <xdr:col>25</xdr:col>
      <xdr:colOff>323850</xdr:colOff>
      <xdr:row>20</xdr:row>
      <xdr:rowOff>171450</xdr:rowOff>
    </xdr:to>
    <xdr:grpSp>
      <xdr:nvGrpSpPr>
        <xdr:cNvPr id="12" name="Group 265"/>
        <xdr:cNvGrpSpPr>
          <a:grpSpLocks/>
        </xdr:cNvGrpSpPr>
      </xdr:nvGrpSpPr>
      <xdr:grpSpPr>
        <a:xfrm>
          <a:off x="13049250" y="3686175"/>
          <a:ext cx="123825" cy="352425"/>
          <a:chOff x="1728" y="447"/>
          <a:chExt cx="16" cy="44"/>
        </a:xfrm>
        <a:solidFill>
          <a:srgbClr val="FFFFFF"/>
        </a:solidFill>
      </xdr:grpSpPr>
      <xdr:pic>
        <xdr:nvPicPr>
          <xdr:cNvPr id="13" name="Picture 184" descr="mw2"/>
          <xdr:cNvPicPr preferRelativeResize="1">
            <a:picLocks noChangeAspect="1"/>
          </xdr:cNvPicPr>
        </xdr:nvPicPr>
        <xdr:blipFill>
          <a:blip r:embed="rId1"/>
          <a:srcRect r="-7142" b="48889"/>
          <a:stretch>
            <a:fillRect/>
          </a:stretch>
        </xdr:blipFill>
        <xdr:spPr>
          <a:xfrm>
            <a:off x="1730" y="447"/>
            <a:ext cx="14" cy="21"/>
          </a:xfrm>
          <a:prstGeom prst="rect">
            <a:avLst/>
          </a:prstGeom>
          <a:noFill/>
          <a:ln w="9525" cmpd="sng">
            <a:noFill/>
          </a:ln>
        </xdr:spPr>
      </xdr:pic>
      <xdr:pic>
        <xdr:nvPicPr>
          <xdr:cNvPr id="14" name="Picture 186" descr="mw2"/>
          <xdr:cNvPicPr preferRelativeResize="1">
            <a:picLocks noChangeAspect="1"/>
          </xdr:cNvPicPr>
        </xdr:nvPicPr>
        <xdr:blipFill>
          <a:blip r:embed="rId1"/>
          <a:srcRect l="-14285" t="50000"/>
          <a:stretch>
            <a:fillRect/>
          </a:stretch>
        </xdr:blipFill>
        <xdr:spPr>
          <a:xfrm>
            <a:off x="1728" y="468"/>
            <a:ext cx="16" cy="23"/>
          </a:xfrm>
          <a:prstGeom prst="rect">
            <a:avLst/>
          </a:prstGeom>
          <a:noFill/>
          <a:ln w="9525" cmpd="sng">
            <a:noFill/>
          </a:ln>
        </xdr:spPr>
      </xdr:pic>
    </xdr:grpSp>
    <xdr:clientData/>
  </xdr:twoCellAnchor>
  <xdr:twoCellAnchor>
    <xdr:from>
      <xdr:col>30</xdr:col>
      <xdr:colOff>38100</xdr:colOff>
      <xdr:row>26</xdr:row>
      <xdr:rowOff>114300</xdr:rowOff>
    </xdr:from>
    <xdr:to>
      <xdr:col>31</xdr:col>
      <xdr:colOff>0</xdr:colOff>
      <xdr:row>26</xdr:row>
      <xdr:rowOff>114300</xdr:rowOff>
    </xdr:to>
    <xdr:sp>
      <xdr:nvSpPr>
        <xdr:cNvPr id="15" name="Line 245"/>
        <xdr:cNvSpPr>
          <a:spLocks/>
        </xdr:cNvSpPr>
      </xdr:nvSpPr>
      <xdr:spPr>
        <a:xfrm>
          <a:off x="15640050" y="51244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66675</xdr:colOff>
      <xdr:row>56</xdr:row>
      <xdr:rowOff>28575</xdr:rowOff>
    </xdr:from>
    <xdr:to>
      <xdr:col>36</xdr:col>
      <xdr:colOff>161925</xdr:colOff>
      <xdr:row>73</xdr:row>
      <xdr:rowOff>19050</xdr:rowOff>
    </xdr:to>
    <xdr:sp fLocksText="0">
      <xdr:nvSpPr>
        <xdr:cNvPr id="16" name="Text Box 246"/>
        <xdr:cNvSpPr txBox="1">
          <a:spLocks noChangeArrowheads="1"/>
        </xdr:cNvSpPr>
      </xdr:nvSpPr>
      <xdr:spPr>
        <a:xfrm>
          <a:off x="10334625" y="10753725"/>
          <a:ext cx="8639175" cy="3228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NOTES:-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131</xdr:row>
      <xdr:rowOff>9525</xdr:rowOff>
    </xdr:from>
    <xdr:to>
      <xdr:col>19</xdr:col>
      <xdr:colOff>476250</xdr:colOff>
      <xdr:row>143</xdr:row>
      <xdr:rowOff>161925</xdr:rowOff>
    </xdr:to>
    <xdr:pic>
      <xdr:nvPicPr>
        <xdr:cNvPr id="1" name="Picture 635" descr="Signature Wines' News and Events">
          <a:hlinkClick r:id="rId3"/>
        </xdr:cNvPr>
        <xdr:cNvPicPr preferRelativeResize="1">
          <a:picLocks noChangeAspect="1"/>
        </xdr:cNvPicPr>
      </xdr:nvPicPr>
      <xdr:blipFill>
        <a:blip r:embed="rId1"/>
        <a:stretch>
          <a:fillRect/>
        </a:stretch>
      </xdr:blipFill>
      <xdr:spPr>
        <a:xfrm>
          <a:off x="4724400" y="23260050"/>
          <a:ext cx="8858250" cy="2324100"/>
        </a:xfrm>
        <a:prstGeom prst="rect">
          <a:avLst/>
        </a:prstGeom>
        <a:noFill/>
        <a:ln w="9525" cmpd="sng">
          <a:noFill/>
        </a:ln>
      </xdr:spPr>
    </xdr:pic>
    <xdr:clientData/>
  </xdr:twoCellAnchor>
  <xdr:twoCellAnchor>
    <xdr:from>
      <xdr:col>18</xdr:col>
      <xdr:colOff>571500</xdr:colOff>
      <xdr:row>55</xdr:row>
      <xdr:rowOff>123825</xdr:rowOff>
    </xdr:from>
    <xdr:to>
      <xdr:col>21</xdr:col>
      <xdr:colOff>66675</xdr:colOff>
      <xdr:row>61</xdr:row>
      <xdr:rowOff>57150</xdr:rowOff>
    </xdr:to>
    <xdr:pic>
      <xdr:nvPicPr>
        <xdr:cNvPr id="2" name="Picture 4" descr="Image result for do not enter">
          <a:hlinkClick r:id="rId6"/>
        </xdr:cNvPr>
        <xdr:cNvPicPr preferRelativeResize="1">
          <a:picLocks noChangeAspect="1"/>
        </xdr:cNvPicPr>
      </xdr:nvPicPr>
      <xdr:blipFill>
        <a:blip r:link="rId4"/>
        <a:stretch>
          <a:fillRect/>
        </a:stretch>
      </xdr:blipFill>
      <xdr:spPr>
        <a:xfrm>
          <a:off x="13058775" y="9620250"/>
          <a:ext cx="1352550" cy="1019175"/>
        </a:xfrm>
        <a:prstGeom prst="rect">
          <a:avLst/>
        </a:prstGeom>
        <a:noFill/>
        <a:ln w="9525" cmpd="sng">
          <a:noFill/>
        </a:ln>
      </xdr:spPr>
    </xdr:pic>
    <xdr:clientData/>
  </xdr:twoCellAnchor>
  <xdr:twoCellAnchor>
    <xdr:from>
      <xdr:col>0</xdr:col>
      <xdr:colOff>57150</xdr:colOff>
      <xdr:row>144</xdr:row>
      <xdr:rowOff>123825</xdr:rowOff>
    </xdr:from>
    <xdr:to>
      <xdr:col>21</xdr:col>
      <xdr:colOff>161925</xdr:colOff>
      <xdr:row>260</xdr:row>
      <xdr:rowOff>152400</xdr:rowOff>
    </xdr:to>
    <xdr:sp fLocksText="0">
      <xdr:nvSpPr>
        <xdr:cNvPr id="3" name="Text Box 1"/>
        <xdr:cNvSpPr txBox="1">
          <a:spLocks noChangeArrowheads="1"/>
        </xdr:cNvSpPr>
      </xdr:nvSpPr>
      <xdr:spPr>
        <a:xfrm>
          <a:off x="57150" y="25727025"/>
          <a:ext cx="14449425" cy="19964400"/>
        </a:xfrm>
        <a:prstGeom prst="rect">
          <a:avLst/>
        </a:prstGeom>
        <a:noFill/>
        <a:ln w="9525" cmpd="sng">
          <a:solidFill>
            <a:srgbClr val="000000"/>
          </a:solidFill>
          <a:headEnd type="none"/>
          <a:tailEnd type="none"/>
        </a:ln>
      </xdr:spPr>
      <xdr:txBody>
        <a:bodyPr vertOverflow="clip" wrap="square" lIns="27305" tIns="22860" rIns="0" bIns="0"/>
        <a:p>
          <a:pPr algn="l">
            <a:defRPr/>
          </a:pPr>
          <a:r>
            <a:rPr lang="en-US" cap="none" sz="1100" b="0" i="0" u="none" baseline="0">
              <a:solidFill>
                <a:srgbClr val="000000"/>
              </a:solidFill>
              <a:latin typeface="Times New Roman"/>
              <a:ea typeface="Times New Roman"/>
              <a:cs typeface="Times New Roman"/>
            </a:rPr>
            <a:t>NOTES:-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Add a sachet of yeast into a glass containing about 30mm of warm orange juice or other juice. Cover.
</a:t>
          </a:r>
          <a:r>
            <a:rPr lang="en-US" cap="none" sz="1100" b="0" i="0" u="none" baseline="0">
              <a:solidFill>
                <a:srgbClr val="000000"/>
              </a:solidFill>
              <a:latin typeface="Times New Roman"/>
              <a:ea typeface="Times New Roman"/>
              <a:cs typeface="Times New Roman"/>
            </a:rPr>
            <a:t>2). Put 620g of sugar into a pan (min. size 1.5 litres or more), add about 420ml cold water. Heat the pan, stirring often, until the sugar dissolves. Remove the heat.
</a:t>
          </a:r>
          <a:r>
            <a:rPr lang="en-US" cap="none" sz="1100" b="0" i="0" u="none" baseline="0">
              <a:solidFill>
                <a:srgbClr val="000000"/>
              </a:solidFill>
              <a:latin typeface="Times New Roman"/>
              <a:ea typeface="Times New Roman"/>
              <a:cs typeface="Times New Roman"/>
            </a:rPr>
            <a:t>3). Add 2 litres apple juice &amp; ½ tsp of enzyme/nutrient to the demijohn then add the cooled syrup, make up to about 3.5 litres with cold tap water, stir &amp; add the yeast.
</a:t>
          </a:r>
          <a:r>
            <a:rPr lang="en-US" cap="none" sz="1100" b="0" i="0" u="none" baseline="0">
              <a:solidFill>
                <a:srgbClr val="000000"/>
              </a:solidFill>
              <a:latin typeface="Times New Roman"/>
              <a:ea typeface="Times New Roman"/>
              <a:cs typeface="Times New Roman"/>
            </a:rPr>
            <a:t>4). Fit an airlock &amp; place somewhere warm &amp; dim, but not in an airing cupboard.
</a:t>
          </a:r>
          <a:r>
            <a:rPr lang="en-US" cap="none" sz="1100" b="0" i="0" u="none" baseline="0">
              <a:solidFill>
                <a:srgbClr val="000000"/>
              </a:solidFill>
              <a:latin typeface="Times New Roman"/>
              <a:ea typeface="Times New Roman"/>
              <a:cs typeface="Times New Roman"/>
            </a:rPr>
            <a:t>5). When the gravity falls to less than 1015, open the tin of fruit &amp; pour the juice into the demi. Add ½ tsp of enzyme/nutrient to the can &amp; roughly mash the fruit, carefully avoiding the sides of the tin. Add this to the demi., along with the last litre of juice.
</a:t>
          </a:r>
          <a:r>
            <a:rPr lang="en-US" cap="none" sz="1100" b="0" i="0" u="none" baseline="0">
              <a:solidFill>
                <a:srgbClr val="000000"/>
              </a:solidFill>
              <a:latin typeface="Times New Roman"/>
              <a:ea typeface="Times New Roman"/>
              <a:cs typeface="Times New Roman"/>
            </a:rPr>
            <a:t>6). About 4/5 days later, using a big funnel &amp; sieve/strainer pour the contents into a demijohn. GENTLY compress the fruit pulp, &amp; “sparge” the pulp until you have about 4.5 litres of wine. Add the Bentonite &amp; fit the airlock.
</a:t>
          </a:r>
          <a:r>
            <a:rPr lang="en-US" cap="none" sz="1100" b="0" i="0" u="none" baseline="0">
              <a:solidFill>
                <a:srgbClr val="000000"/>
              </a:solidFill>
              <a:latin typeface="Times New Roman"/>
              <a:ea typeface="Times New Roman"/>
              <a:cs typeface="Times New Roman"/>
            </a:rPr>
            <a:t>7). When the airlock bubbles at less than 1 per minute &amp; the wine possibly starts clearing (forming “bands”), the fermentation is affectively over, if you have a hydrometer, the reading should be about 994. Fine the wine, leave for about a week, the wine should be crystal-clear. 
</a:t>
          </a:r>
          <a:r>
            <a:rPr lang="en-US" cap="none" sz="1100" b="0" i="0" u="none" baseline="0">
              <a:solidFill>
                <a:srgbClr val="000000"/>
              </a:solidFill>
              <a:latin typeface="Times New Roman"/>
              <a:ea typeface="Times New Roman"/>
              <a:cs typeface="Times New Roman"/>
            </a:rPr>
            <a:t>8). Rack into a sterile demijohn, top-up just over 4.5 litres, add a crushed Campden tablet &amp; “gently swirl in”, (this is the only degassing you will do, so called “proper” degassing leads to oxidization &amp; possible infection). Cover the demi. with Clingfilm, secured by a rubber band &amp; bulk mature in a cool dim place (not the ‘fridge) for 3 month min. (Note that different wines have different maturing times.)
</a:t>
          </a:r>
          <a:r>
            <a:rPr lang="en-US" cap="none" sz="1100" b="0" i="0" u="none" baseline="0">
              <a:solidFill>
                <a:srgbClr val="000000"/>
              </a:solidFill>
              <a:latin typeface="Times New Roman"/>
              <a:ea typeface="Times New Roman"/>
              <a:cs typeface="Times New Roman"/>
            </a:rPr>
            <a:t>9). Bottle, wait a couple of weeks before trying.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38</xdr:row>
      <xdr:rowOff>19050</xdr:rowOff>
    </xdr:from>
    <xdr:ext cx="7600950" cy="2495550"/>
    <xdr:sp>
      <xdr:nvSpPr>
        <xdr:cNvPr id="1" name="TextBox 2"/>
        <xdr:cNvSpPr txBox="1">
          <a:spLocks noChangeArrowheads="1"/>
        </xdr:cNvSpPr>
      </xdr:nvSpPr>
      <xdr:spPr>
        <a:xfrm>
          <a:off x="76200" y="5029200"/>
          <a:ext cx="7600950" cy="2495550"/>
        </a:xfrm>
        <a:prstGeom prst="rect">
          <a:avLst/>
        </a:prstGeom>
        <a:noFill/>
        <a:ln w="9525" cmpd="sng">
          <a:solidFill>
            <a:srgbClr val="000000"/>
          </a:solidFill>
          <a:headEnd type="none"/>
          <a:tailEnd type="none"/>
        </a:ln>
      </xdr:spPr>
      <xdr:txBody>
        <a:bodyPr vertOverflow="clip" wrap="square" lIns="36576" tIns="32004" rIns="0" bIns="0"/>
        <a:p>
          <a:pPr algn="l">
            <a:defRPr/>
          </a:pPr>
          <a:r>
            <a:rPr lang="en-US" cap="none" sz="1100" b="0" i="0" u="none" baseline="0">
              <a:solidFill>
                <a:srgbClr val="000000"/>
              </a:solidFill>
              <a:latin typeface="Calibri"/>
              <a:ea typeface="Calibri"/>
              <a:cs typeface="Calibri"/>
            </a:rPr>
            <a:t>From using the "YoBrew Wine Calculator" winemakers are able to design wines of a target acidity with a great level of accuracy as long as the acidity of the ingredients is known. When the acidity is not known it can be measured. By carrying out an acidity test titration using a testing kit, the user can measure the acidity of ingredients and enter the resulting value into the "YoBrew Wine Calculator" for that ingredient. Alternatively you can enter a desired acidity level (as % tartaric acid) and measure the acidity of a must or wine. The Acid Calculator will then tell you how much of an acid or alkali needs to be added to obtain your desired level.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Using the Acid Check Calculator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boxes in yellow are set up to allow the user to insert their own values. The default values are set up to make 4.7L wine, using the Ritchie's Acid Test Kit which comes with a 0.1M concentration sodium hydroxide solution, testing a 5ml sample of must / wine. These values can be amended to suit.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also need to insert your desired acidity (as % tartaric) and the volume of sodium hydroxide titrated during your test. Once the above information is entered, the quantities of acid or alkali required to meet your desired acidity will be given.</a:t>
          </a:r>
        </a:p>
      </xdr:txBody>
    </xdr:sp>
    <xdr:clientData/>
  </xdr:oneCellAnchor>
  <xdr:twoCellAnchor>
    <xdr:from>
      <xdr:col>0</xdr:col>
      <xdr:colOff>85725</xdr:colOff>
      <xdr:row>56</xdr:row>
      <xdr:rowOff>38100</xdr:rowOff>
    </xdr:from>
    <xdr:to>
      <xdr:col>7</xdr:col>
      <xdr:colOff>647700</xdr:colOff>
      <xdr:row>84</xdr:row>
      <xdr:rowOff>66675</xdr:rowOff>
    </xdr:to>
    <xdr:sp fLocksText="0">
      <xdr:nvSpPr>
        <xdr:cNvPr id="2" name="Text Box 19"/>
        <xdr:cNvSpPr txBox="1">
          <a:spLocks noChangeArrowheads="1"/>
        </xdr:cNvSpPr>
      </xdr:nvSpPr>
      <xdr:spPr>
        <a:xfrm>
          <a:off x="85725" y="7962900"/>
          <a:ext cx="7572375" cy="4562475"/>
        </a:xfrm>
        <a:prstGeom prst="rect">
          <a:avLst/>
        </a:prstGeom>
        <a:solidFill>
          <a:srgbClr val="FFFFFF"/>
        </a:solidFill>
        <a:ln w="9360" cmpd="sng">
          <a:solidFill>
            <a:srgbClr val="808080"/>
          </a:solidFill>
          <a:headEnd type="none"/>
          <a:tailEnd type="none"/>
        </a:ln>
      </xdr:spPr>
      <xdr:txBody>
        <a:bodyPr vertOverflow="clip" wrap="square" lIns="27000" tIns="2268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editAs="oneCell">
    <xdr:from>
      <xdr:col>2</xdr:col>
      <xdr:colOff>447675</xdr:colOff>
      <xdr:row>11</xdr:row>
      <xdr:rowOff>47625</xdr:rowOff>
    </xdr:from>
    <xdr:to>
      <xdr:col>5</xdr:col>
      <xdr:colOff>447675</xdr:colOff>
      <xdr:row>28</xdr:row>
      <xdr:rowOff>114300</xdr:rowOff>
    </xdr:to>
    <xdr:pic>
      <xdr:nvPicPr>
        <xdr:cNvPr id="3" name="Picture 7" descr="acid_test_2"/>
        <xdr:cNvPicPr preferRelativeResize="1">
          <a:picLocks noChangeAspect="1"/>
        </xdr:cNvPicPr>
      </xdr:nvPicPr>
      <xdr:blipFill>
        <a:blip r:embed="rId1"/>
        <a:stretch>
          <a:fillRect/>
        </a:stretch>
      </xdr:blipFill>
      <xdr:spPr>
        <a:xfrm>
          <a:off x="3914775" y="2114550"/>
          <a:ext cx="2095500" cy="1362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12</xdr:row>
      <xdr:rowOff>38100</xdr:rowOff>
    </xdr:from>
    <xdr:to>
      <xdr:col>21</xdr:col>
      <xdr:colOff>438150</xdr:colOff>
      <xdr:row>69</xdr:row>
      <xdr:rowOff>152400</xdr:rowOff>
    </xdr:to>
    <xdr:sp fLocksText="0">
      <xdr:nvSpPr>
        <xdr:cNvPr id="1" name="Text Box 1"/>
        <xdr:cNvSpPr txBox="1">
          <a:spLocks noChangeArrowheads="1"/>
        </xdr:cNvSpPr>
      </xdr:nvSpPr>
      <xdr:spPr>
        <a:xfrm>
          <a:off x="7381875" y="2276475"/>
          <a:ext cx="1847850" cy="9886950"/>
        </a:xfrm>
        <a:prstGeom prst="rect">
          <a:avLst/>
        </a:prstGeom>
        <a:noFill/>
        <a:ln w="9525" cmpd="sng">
          <a:noFill/>
        </a:ln>
      </xdr:spPr>
      <xdr:txBody>
        <a:bodyPr vertOverflow="clip" wrap="square" lIns="27305" tIns="22860" rIns="0" bIns="0"/>
        <a:p>
          <a:pPr algn="l">
            <a:defRPr/>
          </a:pPr>
          <a:r>
            <a:rPr lang="en-US" cap="none" sz="1050" b="0" i="0" u="none" baseline="0">
              <a:solidFill>
                <a:srgbClr val="000000"/>
              </a:solidFill>
              <a:latin typeface="Times New Roman"/>
              <a:ea typeface="Times New Roman"/>
              <a:cs typeface="Times New Roman"/>
            </a:rPr>
            <a:t>One "standard" measure or one “shot” of spirit is 25ml (U. K.).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Check the "ABV" ratings (column "E") before you start.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fLocksWithSheet="0"/>
  </xdr:twoCellAnchor>
  <xdr:twoCellAnchor editAs="oneCell">
    <xdr:from>
      <xdr:col>18</xdr:col>
      <xdr:colOff>438150</xdr:colOff>
      <xdr:row>62</xdr:row>
      <xdr:rowOff>28575</xdr:rowOff>
    </xdr:from>
    <xdr:to>
      <xdr:col>22</xdr:col>
      <xdr:colOff>19050</xdr:colOff>
      <xdr:row>75</xdr:row>
      <xdr:rowOff>161925</xdr:rowOff>
    </xdr:to>
    <xdr:pic>
      <xdr:nvPicPr>
        <xdr:cNvPr id="2" name="Picture 3" descr="red_cocktail_with_splash copy"/>
        <xdr:cNvPicPr preferRelativeResize="1">
          <a:picLocks noChangeAspect="1"/>
        </xdr:cNvPicPr>
      </xdr:nvPicPr>
      <xdr:blipFill>
        <a:blip r:embed="rId1"/>
        <a:stretch>
          <a:fillRect/>
        </a:stretch>
      </xdr:blipFill>
      <xdr:spPr>
        <a:xfrm>
          <a:off x="7791450" y="10839450"/>
          <a:ext cx="1485900" cy="2362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12</xdr:row>
      <xdr:rowOff>0</xdr:rowOff>
    </xdr:from>
    <xdr:to>
      <xdr:col>8</xdr:col>
      <xdr:colOff>390525</xdr:colOff>
      <xdr:row>14</xdr:row>
      <xdr:rowOff>0</xdr:rowOff>
    </xdr:to>
    <xdr:sp>
      <xdr:nvSpPr>
        <xdr:cNvPr id="1" name="AutoShape 12"/>
        <xdr:cNvSpPr>
          <a:spLocks/>
        </xdr:cNvSpPr>
      </xdr:nvSpPr>
      <xdr:spPr>
        <a:xfrm>
          <a:off x="4800600" y="1800225"/>
          <a:ext cx="76200"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19</xdr:row>
      <xdr:rowOff>9525</xdr:rowOff>
    </xdr:from>
    <xdr:to>
      <xdr:col>17</xdr:col>
      <xdr:colOff>1466850</xdr:colOff>
      <xdr:row>82</xdr:row>
      <xdr:rowOff>9525</xdr:rowOff>
    </xdr:to>
    <xdr:sp>
      <xdr:nvSpPr>
        <xdr:cNvPr id="2" name="Text Box 4"/>
        <xdr:cNvSpPr txBox="1">
          <a:spLocks noChangeArrowheads="1"/>
        </xdr:cNvSpPr>
      </xdr:nvSpPr>
      <xdr:spPr>
        <a:xfrm>
          <a:off x="6029325" y="2990850"/>
          <a:ext cx="4829175" cy="10848975"/>
        </a:xfrm>
        <a:prstGeom prst="rect">
          <a:avLst/>
        </a:prstGeom>
        <a:solidFill>
          <a:srgbClr val="FFFFFF"/>
        </a:solidFill>
        <a:ln w="9525" cmpd="sng">
          <a:solidFill>
            <a:srgbClr val="000000"/>
          </a:solidFill>
          <a:headEnd type="none"/>
          <a:tailEnd type="none"/>
        </a:ln>
      </xdr:spPr>
      <xdr:txBody>
        <a:bodyPr vertOverflow="clip" wrap="square" lIns="27305" tIns="22860" rIns="0" bIns="0"/>
        <a:p>
          <a:pPr algn="l">
            <a:defRPr/>
          </a:pPr>
          <a:r>
            <a:rPr lang="en-US" cap="none" sz="1000" b="0" i="0" u="none" baseline="0">
              <a:solidFill>
                <a:srgbClr val="000000"/>
              </a:solidFill>
              <a:latin typeface="Times New Roman"/>
              <a:ea typeface="Times New Roman"/>
              <a:cs typeface="Times New Roman"/>
            </a:rPr>
            <a:t>G</a:t>
          </a:r>
          <a:r>
            <a:rPr lang="en-US" cap="none" sz="1000" b="0" i="1" u="none" baseline="0">
              <a:solidFill>
                <a:srgbClr val="000000"/>
              </a:solidFill>
              <a:latin typeface="Times New Roman"/>
              <a:ea typeface="Times New Roman"/>
              <a:cs typeface="Times New Roman"/>
            </a:rPr>
            <a:t>ENERAL NOTES
</a:t>
          </a:r>
          <a:r>
            <a:rPr lang="en-US" cap="none" sz="1000" b="0" i="1"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The "Stone Factor" provides the "Useable Wt" of fruit flesh, this allows for stoned fruit</a:t>
          </a:r>
          <a:r>
            <a:rPr lang="en-US" cap="none" sz="1000" b="0" i="0" u="none" baseline="0">
              <a:solidFill>
                <a:srgbClr val="000000"/>
              </a:solidFill>
              <a:latin typeface="Times New Roman"/>
              <a:ea typeface="Times New Roman"/>
              <a:cs typeface="Times New Roman"/>
            </a:rPr>
            <a:t>s &amp; apples/pears being peeled &amp; cores etc. It is not normally necessary to remove stones prior to making jam, just slice difficult fruit to allow the stones to be freed during boiling. Some fruits such as apricots, can be enhanced by cracking a few of the stones &amp; adding the kernels to the boil.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"Water Factor" is the amount of water to be added to the fruit.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"Sugar Factor" determines the weight of sugar to be added.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Quantities quoted are by no means critical!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Paradoxically, pectin, the wine-makers enemy, is the jam-makers best friend. Under-ripe fruits have more pectin than ripe hence more sugar can be added, slightly more water may also be required.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High pectin/setting fruits, these can be used singly or combined with lower pectin content fruits include:-
</a:t>
          </a:r>
          <a:r>
            <a:rPr lang="en-US" cap="none" sz="1000" b="0" i="0" u="none" baseline="0">
              <a:solidFill>
                <a:srgbClr val="000000"/>
              </a:solidFill>
              <a:latin typeface="Times New Roman"/>
              <a:ea typeface="Times New Roman"/>
              <a:cs typeface="Times New Roman"/>
            </a:rPr>
            <a:t>Cooking &amp; crab apples, blackcurrants, damsons, gooseberries, lemons, plums and redcurrants.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Medium pectin/setting fruits:-
</a:t>
          </a:r>
          <a:r>
            <a:rPr lang="en-US" cap="none" sz="1000" b="0" i="0" u="none" baseline="0">
              <a:solidFill>
                <a:srgbClr val="000000"/>
              </a:solidFill>
              <a:latin typeface="Times New Roman"/>
              <a:ea typeface="Times New Roman"/>
              <a:cs typeface="Times New Roman"/>
            </a:rPr>
            <a:t>Apricots, blackberries, raspberries, and loganberries.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Low pectin/setting fruits:-
</a:t>
          </a:r>
          <a:r>
            <a:rPr lang="en-US" cap="none" sz="1000" b="0" i="0" u="none" baseline="0">
              <a:solidFill>
                <a:srgbClr val="000000"/>
              </a:solidFill>
              <a:latin typeface="Times New Roman"/>
              <a:ea typeface="Times New Roman"/>
              <a:cs typeface="Times New Roman"/>
            </a:rPr>
            <a:t>Cherries and strawberries.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Water quantities are not critical, if insufficient is initially used you can always add more, any excess will be "reduced" or boiled off.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"TOTAL ACID" &amp; "TOTAL PECTIN" content i.e. "High" is an indicator of the jam's setting quality.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Example - Damson Wine
</a:t>
          </a:r>
          <a:r>
            <a:rPr lang="en-US" cap="none" sz="1000" b="0" i="0" u="none" baseline="0">
              <a:solidFill>
                <a:srgbClr val="000000"/>
              </a:solidFill>
              <a:latin typeface="Times New Roman"/>
              <a:ea typeface="Times New Roman"/>
              <a:cs typeface="Times New Roman"/>
            </a:rPr>
            <a:t>Wash the fruit, discarding any bad bits &amp; note the weight, "halve" the fruit &amp; remove any loose stones. For every 500g ripe fruit add about 70ml water in a stainless steel pan (aluminium is not recommended as it can react with the acid &amp; cause harmful compounds) &amp; weigh out about 570g of sugar in a bowl, this may be pre-heated in a low oven (Gas mark 1/4, 110°C). The clean jam jars may be placed in the coolest part of the oven.
</a:t>
          </a:r>
          <a:r>
            <a:rPr lang="en-US" cap="none" sz="1000" b="0" i="0" u="none" baseline="0">
              <a:solidFill>
                <a:srgbClr val="000000"/>
              </a:solidFill>
              <a:latin typeface="Times New Roman"/>
              <a:ea typeface="Times New Roman"/>
              <a:cs typeface="Times New Roman"/>
            </a:rPr>
            <a:t>Simmer gently, stirring from time to time to prevent sticking &amp; burning, until the fruit &amp; skins are nice &amp; tender.
</a:t>
          </a:r>
          <a:r>
            <a:rPr lang="en-US" cap="none" sz="1000" b="0" i="0" u="none" baseline="0">
              <a:solidFill>
                <a:srgbClr val="000000"/>
              </a:solidFill>
              <a:latin typeface="Times New Roman"/>
              <a:ea typeface="Times New Roman"/>
              <a:cs typeface="Times New Roman"/>
            </a:rPr>
            <a:t>Turn the pan heat to a minimum &amp; gradually stir in the sugar, when this is dissolved bring the pan contents to a boil then boil rapidly until the "setting point" is reached, taking care not to burn the jam at the bottom of the pan, this problem can be reduced by making smaller quantities. Stirring is not required at this stage but any stones that rise to the surface can be carefully removed.
</a:t>
          </a:r>
          <a:r>
            <a:rPr lang="en-US" cap="none" sz="1000" b="0" i="0" u="none" baseline="0">
              <a:solidFill>
                <a:srgbClr val="000000"/>
              </a:solidFill>
              <a:latin typeface="Times New Roman"/>
              <a:ea typeface="Times New Roman"/>
              <a:cs typeface="Times New Roman"/>
            </a:rPr>
            <a:t>Allow to cool for 10-15 minutes before pouring into the jars, fill them to at least a centimetre from the top, this helps prevent moulds etc. forming. High sugar jams can be kept for up to a year, low sugar for only a few months. All should be eaten within a few weeks of opening.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"setting point" occurs at about 105°C (220°F), test every 4 or 5 minutes. If you don't have a jam thermometer, take a sample of the jam with a clean wooden spoon, hold above the pan for about 5 seconds to cool slightly then tip it, allowing the jam to return to the pan. When "set" the jam will "flake" off the spoon rather than drip off. Be careful not to over-boil as the jam will then never set.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An alternative test is to drop a small amount of jam onto a clean plate, just removed from a refrigerator. Leave to cool for half to one minute before "pushing" the jam with a finger. If the jam has a skin that wrinkles, the jam has set, to prevent over-boiling, reduce the pan heat to a minimum during this test, if the jam stays runny and no skin is present, boil for a little longer before re-testing.</a:t>
          </a:r>
        </a:p>
      </xdr:txBody>
    </xdr:sp>
    <xdr:clientData/>
  </xdr:twoCellAnchor>
  <xdr:twoCellAnchor>
    <xdr:from>
      <xdr:col>1</xdr:col>
      <xdr:colOff>28575</xdr:colOff>
      <xdr:row>84</xdr:row>
      <xdr:rowOff>0</xdr:rowOff>
    </xdr:from>
    <xdr:to>
      <xdr:col>17</xdr:col>
      <xdr:colOff>1476375</xdr:colOff>
      <xdr:row>97</xdr:row>
      <xdr:rowOff>9525</xdr:rowOff>
    </xdr:to>
    <xdr:sp fLocksText="0">
      <xdr:nvSpPr>
        <xdr:cNvPr id="3" name="Text Box 19"/>
        <xdr:cNvSpPr txBox="1">
          <a:spLocks noChangeArrowheads="1"/>
        </xdr:cNvSpPr>
      </xdr:nvSpPr>
      <xdr:spPr>
        <a:xfrm>
          <a:off x="114300" y="14201775"/>
          <a:ext cx="10753725" cy="2305050"/>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LocksWithSheet="0"/>
  </xdr:twoCellAnchor>
  <xdr:twoCellAnchor>
    <xdr:from>
      <xdr:col>8</xdr:col>
      <xdr:colOff>323850</xdr:colOff>
      <xdr:row>8</xdr:row>
      <xdr:rowOff>47625</xdr:rowOff>
    </xdr:from>
    <xdr:to>
      <xdr:col>8</xdr:col>
      <xdr:colOff>390525</xdr:colOff>
      <xdr:row>10</xdr:row>
      <xdr:rowOff>133350</xdr:rowOff>
    </xdr:to>
    <xdr:sp>
      <xdr:nvSpPr>
        <xdr:cNvPr id="4" name="AutoShape 12"/>
        <xdr:cNvSpPr>
          <a:spLocks/>
        </xdr:cNvSpPr>
      </xdr:nvSpPr>
      <xdr:spPr>
        <a:xfrm>
          <a:off x="4810125" y="1219200"/>
          <a:ext cx="66675" cy="466725"/>
        </a:xfrm>
        <a:prstGeom prst="rightBrace">
          <a:avLst>
            <a:gd name="adj1" fmla="val -32999"/>
            <a:gd name="adj2" fmla="val 981"/>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etespintpot.co.uk/" TargetMode="External" /><Relationship Id="rId2" Type="http://schemas.openxmlformats.org/officeDocument/2006/relationships/hyperlink" Target="mailto:jamesbsmith@hotmail.com" TargetMode="External" /><Relationship Id="rId3" Type="http://schemas.openxmlformats.org/officeDocument/2006/relationships/hyperlink" Target="mailto:david.barrow@live.co.uk" TargetMode="External" /><Relationship Id="rId4" Type="http://schemas.openxmlformats.org/officeDocument/2006/relationships/hyperlink" Target="http://www.yobrew.co.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etespintpot.co.uk/" TargetMode="External" /><Relationship Id="rId2" Type="http://schemas.openxmlformats.org/officeDocument/2006/relationships/hyperlink" Target="http://www.petespintpot.co.uk/" TargetMode="External" /><Relationship Id="rId3" Type="http://schemas.openxmlformats.org/officeDocument/2006/relationships/hyperlink" Target="mailto:david.barrow@live.co.uk" TargetMode="External" /><Relationship Id="rId4" Type="http://schemas.openxmlformats.org/officeDocument/2006/relationships/hyperlink" Target="http://www.yobrew.co.uk/"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etespintpot.co.uk/" TargetMode="External" /><Relationship Id="rId2" Type="http://schemas.openxmlformats.org/officeDocument/2006/relationships/hyperlink" Target="http://www.petespintpot.co.uk/" TargetMode="External" /><Relationship Id="rId3" Type="http://schemas.openxmlformats.org/officeDocument/2006/relationships/hyperlink" Target="http://www.petespintpot.co.uk/" TargetMode="External" /><Relationship Id="rId4" Type="http://schemas.openxmlformats.org/officeDocument/2006/relationships/hyperlink" Target="http://www.signaturewinesofohio.com/" TargetMode="External" /><Relationship Id="rId5" Type="http://schemas.openxmlformats.org/officeDocument/2006/relationships/hyperlink" Target="http://www.signaturewinesofohio.com/" TargetMode="External" /><Relationship Id="rId6" Type="http://schemas.openxmlformats.org/officeDocument/2006/relationships/hyperlink" Target="http://www.petespintpot.co.uk/" TargetMode="External" /><Relationship Id="rId7" Type="http://schemas.openxmlformats.org/officeDocument/2006/relationships/hyperlink" Target="http://www.petespintpot.co.uk/" TargetMode="External" /><Relationship Id="rId8" Type="http://schemas.openxmlformats.org/officeDocument/2006/relationships/hyperlink" Target="http://www.petespintpot.co.uk/" TargetMode="External" /><Relationship Id="rId9" Type="http://schemas.openxmlformats.org/officeDocument/2006/relationships/drawing" Target="../drawings/drawing3.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yobrew.co.uk/" TargetMode="External" /><Relationship Id="rId2" Type="http://schemas.openxmlformats.org/officeDocument/2006/relationships/hyperlink" Target="mailto:jamesbsmith@hotmail.com"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etespintpot.co.uk/" TargetMode="External" /><Relationship Id="rId2" Type="http://schemas.openxmlformats.org/officeDocument/2006/relationships/hyperlink" Target="http://www.petespintpot.co.uk/" TargetMode="External" /><Relationship Id="rId3" Type="http://schemas.openxmlformats.org/officeDocument/2006/relationships/hyperlink" Target="http://www.yobrew.co.uk/"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etespintpot.co.uk/" TargetMode="External" /><Relationship Id="rId2" Type="http://schemas.openxmlformats.org/officeDocument/2006/relationships/hyperlink" Target="http://www.petespintpot.co.uk/" TargetMode="External" /><Relationship Id="rId3" Type="http://schemas.openxmlformats.org/officeDocument/2006/relationships/hyperlink" Target="http://www.yobrew.co.uk/"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46"/>
  <sheetViews>
    <sheetView tabSelected="1" zoomScale="85" zoomScaleNormal="85" zoomScaleSheetLayoutView="100" zoomScalePageLayoutView="0" workbookViewId="0" topLeftCell="A1">
      <selection activeCell="L10" sqref="L10"/>
    </sheetView>
  </sheetViews>
  <sheetFormatPr defaultColWidth="9.00390625" defaultRowHeight="15"/>
  <cols>
    <col min="1" max="1" width="0.9921875" style="355" customWidth="1"/>
    <col min="2" max="2" width="9.7109375" style="356" customWidth="1"/>
    <col min="3" max="3" width="1.7109375" style="356" customWidth="1"/>
    <col min="4" max="4" width="1.28515625" style="345" customWidth="1"/>
    <col min="5" max="5" width="6.7109375" style="345" customWidth="1"/>
    <col min="6" max="6" width="30.140625" style="345" customWidth="1"/>
    <col min="7" max="7" width="10.28125" style="345" customWidth="1"/>
    <col min="8" max="8" width="29.7109375" style="345" customWidth="1"/>
    <col min="9" max="9" width="16.00390625" style="345" customWidth="1"/>
    <col min="10" max="10" width="3.7109375" style="345" customWidth="1"/>
    <col min="11" max="11" width="3.140625" style="345" customWidth="1"/>
    <col min="12" max="16384" width="9.00390625" style="345" customWidth="1"/>
  </cols>
  <sheetData>
    <row r="1" spans="1:11" ht="9" customHeight="1" thickBot="1">
      <c r="A1" s="468"/>
      <c r="B1" s="468"/>
      <c r="C1" s="468"/>
      <c r="D1" s="469"/>
      <c r="E1" s="469"/>
      <c r="F1" s="469"/>
      <c r="G1" s="469"/>
      <c r="H1" s="469"/>
      <c r="I1" s="469"/>
      <c r="J1" s="469"/>
      <c r="K1" s="469"/>
    </row>
    <row r="2" spans="1:12" ht="28.5" customHeight="1">
      <c r="A2" s="1030" t="s">
        <v>801</v>
      </c>
      <c r="B2" s="1030"/>
      <c r="C2" s="895"/>
      <c r="D2" s="895"/>
      <c r="E2" s="895"/>
      <c r="F2" s="1031" t="s">
        <v>796</v>
      </c>
      <c r="G2" s="1031"/>
      <c r="H2" s="1031"/>
      <c r="I2" s="1032" t="s">
        <v>641</v>
      </c>
      <c r="J2" s="1033"/>
      <c r="K2" s="1003">
        <v>1</v>
      </c>
      <c r="L2" s="898"/>
    </row>
    <row r="3" spans="1:11" ht="17.25" customHeight="1">
      <c r="A3" s="1030"/>
      <c r="B3" s="1030"/>
      <c r="C3" s="346"/>
      <c r="D3" s="362"/>
      <c r="E3" s="876"/>
      <c r="F3" s="876"/>
      <c r="G3" s="363"/>
      <c r="H3" s="877"/>
      <c r="I3" s="877"/>
      <c r="J3" s="347"/>
      <c r="K3" s="344"/>
    </row>
    <row r="4" spans="1:11" ht="17.25" customHeight="1">
      <c r="A4" s="1030"/>
      <c r="B4" s="1030"/>
      <c r="C4" s="346"/>
      <c r="D4" s="362"/>
      <c r="E4" s="876"/>
      <c r="F4" s="444"/>
      <c r="G4" s="1029" t="s">
        <v>4</v>
      </c>
      <c r="H4" s="1029"/>
      <c r="I4" s="1029"/>
      <c r="J4" s="348"/>
      <c r="K4" s="344"/>
    </row>
    <row r="5" spans="1:11" ht="24" customHeight="1">
      <c r="A5" s="1030"/>
      <c r="B5" s="1030"/>
      <c r="C5" s="346"/>
      <c r="D5" s="362"/>
      <c r="E5" s="1020" t="s">
        <v>0</v>
      </c>
      <c r="F5" s="1020"/>
      <c r="G5" s="1021" t="s">
        <v>655</v>
      </c>
      <c r="H5" s="1021"/>
      <c r="I5" s="1021"/>
      <c r="J5" s="350"/>
      <c r="K5" s="344"/>
    </row>
    <row r="6" spans="1:11" ht="18" customHeight="1">
      <c r="A6" s="1030"/>
      <c r="B6" s="1030"/>
      <c r="C6" s="346"/>
      <c r="D6" s="362"/>
      <c r="E6" s="1022" t="s">
        <v>641</v>
      </c>
      <c r="F6" s="1022"/>
      <c r="G6" s="1024" t="s">
        <v>691</v>
      </c>
      <c r="H6" s="1024"/>
      <c r="I6" s="1024"/>
      <c r="J6" s="348"/>
      <c r="K6" s="344"/>
    </row>
    <row r="7" spans="1:11" ht="18" customHeight="1">
      <c r="A7" s="1030"/>
      <c r="B7" s="1030"/>
      <c r="C7" s="346"/>
      <c r="D7" s="362"/>
      <c r="E7" s="460"/>
      <c r="F7" s="460"/>
      <c r="G7" s="880"/>
      <c r="H7" s="1025" t="s">
        <v>693</v>
      </c>
      <c r="I7" s="1025"/>
      <c r="J7" s="348"/>
      <c r="K7" s="344"/>
    </row>
    <row r="8" spans="1:11" ht="18" customHeight="1">
      <c r="A8" s="1030"/>
      <c r="B8" s="1030"/>
      <c r="C8" s="896"/>
      <c r="D8" s="362"/>
      <c r="E8" s="444"/>
      <c r="F8" s="444"/>
      <c r="G8" s="1014" t="s">
        <v>5</v>
      </c>
      <c r="H8" s="1014"/>
      <c r="I8" s="1014"/>
      <c r="J8" s="348"/>
      <c r="K8" s="344"/>
    </row>
    <row r="9" spans="1:11" ht="18" customHeight="1">
      <c r="A9" s="1030"/>
      <c r="B9" s="1030"/>
      <c r="C9" s="896"/>
      <c r="D9" s="362"/>
      <c r="E9" s="444"/>
      <c r="F9" s="444"/>
      <c r="G9" s="1014" t="s">
        <v>689</v>
      </c>
      <c r="H9" s="1014"/>
      <c r="I9" s="1014"/>
      <c r="J9" s="349"/>
      <c r="K9" s="344"/>
    </row>
    <row r="10" spans="1:11" ht="18" customHeight="1">
      <c r="A10" s="897"/>
      <c r="B10" s="897"/>
      <c r="C10" s="897"/>
      <c r="D10" s="362"/>
      <c r="E10" s="444"/>
      <c r="F10" s="444"/>
      <c r="G10" s="1014" t="s">
        <v>6</v>
      </c>
      <c r="H10" s="1014"/>
      <c r="I10" s="1014"/>
      <c r="J10" s="350"/>
      <c r="K10" s="344"/>
    </row>
    <row r="11" spans="1:11" ht="18" customHeight="1">
      <c r="A11" s="1034" t="s">
        <v>813</v>
      </c>
      <c r="B11" s="1034"/>
      <c r="C11" s="1034"/>
      <c r="D11" s="362"/>
      <c r="E11" s="444"/>
      <c r="F11" s="444"/>
      <c r="G11" s="888"/>
      <c r="H11" s="1023" t="s">
        <v>794</v>
      </c>
      <c r="I11" s="1023"/>
      <c r="J11" s="350"/>
      <c r="K11" s="344"/>
    </row>
    <row r="12" spans="1:11" ht="18" customHeight="1">
      <c r="A12" s="1034"/>
      <c r="B12" s="1034"/>
      <c r="C12" s="1034"/>
      <c r="D12" s="362"/>
      <c r="E12" s="444"/>
      <c r="F12" s="444"/>
      <c r="G12" s="1014" t="s">
        <v>7</v>
      </c>
      <c r="H12" s="1014"/>
      <c r="I12" s="1014"/>
      <c r="J12" s="350"/>
      <c r="K12" s="344"/>
    </row>
    <row r="13" spans="1:11" ht="18" customHeight="1">
      <c r="A13" s="1034"/>
      <c r="B13" s="1034"/>
      <c r="C13" s="1034"/>
      <c r="D13" s="362"/>
      <c r="E13" s="444"/>
      <c r="F13" s="444"/>
      <c r="G13" s="1014" t="s">
        <v>638</v>
      </c>
      <c r="H13" s="1014"/>
      <c r="I13" s="1014"/>
      <c r="J13" s="350"/>
      <c r="K13" s="344"/>
    </row>
    <row r="14" spans="1:11" ht="18" customHeight="1">
      <c r="A14" s="1034"/>
      <c r="B14" s="1034"/>
      <c r="C14" s="1034"/>
      <c r="D14" s="362"/>
      <c r="E14" s="444"/>
      <c r="F14" s="444"/>
      <c r="G14" s="1014" t="s">
        <v>729</v>
      </c>
      <c r="H14" s="1014"/>
      <c r="I14" s="1014"/>
      <c r="J14" s="350"/>
      <c r="K14" s="344"/>
    </row>
    <row r="15" spans="1:11" ht="17.25" customHeight="1">
      <c r="A15" s="1034"/>
      <c r="B15" s="1034"/>
      <c r="C15" s="1034"/>
      <c r="D15" s="362"/>
      <c r="E15" s="444"/>
      <c r="F15" s="444"/>
      <c r="G15" s="1014" t="s">
        <v>642</v>
      </c>
      <c r="H15" s="1014"/>
      <c r="I15" s="1014"/>
      <c r="J15" s="350"/>
      <c r="K15" s="344"/>
    </row>
    <row r="16" spans="1:11" ht="18" customHeight="1">
      <c r="A16" s="1034"/>
      <c r="B16" s="1034"/>
      <c r="C16" s="1034"/>
      <c r="D16" s="362"/>
      <c r="E16" s="444"/>
      <c r="F16" s="444"/>
      <c r="G16" s="881"/>
      <c r="H16" s="881"/>
      <c r="I16" s="881"/>
      <c r="J16" s="350"/>
      <c r="K16" s="344"/>
    </row>
    <row r="17" spans="1:11" ht="24" customHeight="1">
      <c r="A17" s="1034"/>
      <c r="B17" s="1034"/>
      <c r="C17" s="1034"/>
      <c r="D17" s="362"/>
      <c r="E17" s="1016" t="s">
        <v>1</v>
      </c>
      <c r="F17" s="1016"/>
      <c r="G17" s="1013" t="s">
        <v>570</v>
      </c>
      <c r="H17" s="1013"/>
      <c r="I17" s="1013"/>
      <c r="J17" s="350"/>
      <c r="K17" s="344"/>
    </row>
    <row r="18" spans="1:11" ht="18" customHeight="1">
      <c r="A18" s="1034"/>
      <c r="B18" s="1034"/>
      <c r="C18" s="1034"/>
      <c r="D18" s="362"/>
      <c r="E18" s="1022" t="s">
        <v>641</v>
      </c>
      <c r="F18" s="1022"/>
      <c r="G18" s="1021" t="s">
        <v>786</v>
      </c>
      <c r="H18" s="1021"/>
      <c r="I18" s="1021"/>
      <c r="J18" s="521"/>
      <c r="K18" s="344"/>
    </row>
    <row r="19" spans="1:11" ht="18" customHeight="1">
      <c r="A19" s="1034"/>
      <c r="B19" s="1034"/>
      <c r="C19" s="1034"/>
      <c r="D19" s="362"/>
      <c r="E19" s="882"/>
      <c r="F19" s="882"/>
      <c r="G19" s="1021" t="s">
        <v>733</v>
      </c>
      <c r="H19" s="1021"/>
      <c r="I19" s="1021"/>
      <c r="J19" s="521"/>
      <c r="K19" s="344"/>
    </row>
    <row r="20" spans="1:11" ht="18" customHeight="1">
      <c r="A20" s="1034"/>
      <c r="B20" s="1034"/>
      <c r="C20" s="1034"/>
      <c r="D20" s="362"/>
      <c r="E20" s="882"/>
      <c r="F20" s="882"/>
      <c r="G20" s="444"/>
      <c r="H20" s="1014" t="s">
        <v>11</v>
      </c>
      <c r="I20" s="1014"/>
      <c r="J20" s="521"/>
      <c r="K20" s="344"/>
    </row>
    <row r="21" spans="1:11" ht="18" customHeight="1">
      <c r="A21" s="1034"/>
      <c r="B21" s="1034"/>
      <c r="C21" s="1034"/>
      <c r="D21" s="362"/>
      <c r="E21" s="882"/>
      <c r="F21" s="882"/>
      <c r="G21" s="1014" t="s">
        <v>8</v>
      </c>
      <c r="H21" s="1014"/>
      <c r="I21" s="1014"/>
      <c r="J21" s="521"/>
      <c r="K21" s="344"/>
    </row>
    <row r="22" spans="1:11" ht="18" customHeight="1">
      <c r="A22" s="1034"/>
      <c r="B22" s="1034"/>
      <c r="C22" s="1034"/>
      <c r="D22" s="362"/>
      <c r="E22" s="882"/>
      <c r="F22" s="911"/>
      <c r="G22" s="444"/>
      <c r="H22" s="1014" t="s">
        <v>12</v>
      </c>
      <c r="I22" s="1014"/>
      <c r="J22" s="347"/>
      <c r="K22" s="344"/>
    </row>
    <row r="23" spans="1:11" ht="18" customHeight="1">
      <c r="A23" s="1034"/>
      <c r="B23" s="1034"/>
      <c r="C23" s="1034"/>
      <c r="D23" s="362"/>
      <c r="E23" s="882"/>
      <c r="F23" s="911"/>
      <c r="G23" s="1014" t="s">
        <v>787</v>
      </c>
      <c r="H23" s="1014"/>
      <c r="I23" s="1014"/>
      <c r="J23" s="347"/>
      <c r="K23" s="344"/>
    </row>
    <row r="24" spans="1:11" ht="18" customHeight="1">
      <c r="A24" s="1034"/>
      <c r="B24" s="1034"/>
      <c r="C24" s="1034"/>
      <c r="D24" s="362"/>
      <c r="E24" s="882"/>
      <c r="F24" s="911"/>
      <c r="G24" s="1014" t="s">
        <v>812</v>
      </c>
      <c r="H24" s="1014"/>
      <c r="I24" s="1014"/>
      <c r="J24" s="347"/>
      <c r="K24" s="344"/>
    </row>
    <row r="25" spans="1:11" ht="18" customHeight="1">
      <c r="A25" s="1034"/>
      <c r="B25" s="1034"/>
      <c r="C25" s="1034"/>
      <c r="D25" s="362"/>
      <c r="E25" s="876"/>
      <c r="F25" s="444"/>
      <c r="G25" s="1014" t="s">
        <v>9</v>
      </c>
      <c r="H25" s="1014"/>
      <c r="I25" s="1014"/>
      <c r="J25" s="522"/>
      <c r="K25" s="344"/>
    </row>
    <row r="26" spans="1:11" ht="18" customHeight="1">
      <c r="A26" s="1034"/>
      <c r="B26" s="1034"/>
      <c r="C26" s="1034"/>
      <c r="D26" s="362"/>
      <c r="E26" s="876"/>
      <c r="F26" s="444"/>
      <c r="G26" s="1014" t="s">
        <v>677</v>
      </c>
      <c r="H26" s="1014"/>
      <c r="I26" s="1014"/>
      <c r="J26" s="522"/>
      <c r="K26" s="344"/>
    </row>
    <row r="27" spans="1:11" ht="18" customHeight="1">
      <c r="A27" s="1034"/>
      <c r="B27" s="1034"/>
      <c r="C27" s="1034"/>
      <c r="D27" s="362"/>
      <c r="E27" s="876"/>
      <c r="F27" s="876"/>
      <c r="G27" s="1014" t="s">
        <v>647</v>
      </c>
      <c r="H27" s="1014"/>
      <c r="I27" s="1014"/>
      <c r="J27" s="522"/>
      <c r="K27" s="344"/>
    </row>
    <row r="28" spans="1:11" ht="18" customHeight="1">
      <c r="A28" s="1034"/>
      <c r="B28" s="1034"/>
      <c r="C28" s="1034"/>
      <c r="D28" s="362"/>
      <c r="E28" s="876"/>
      <c r="F28" s="876"/>
      <c r="G28" s="878"/>
      <c r="H28" s="878"/>
      <c r="I28" s="878"/>
      <c r="J28" s="522"/>
      <c r="K28" s="344"/>
    </row>
    <row r="29" spans="1:11" ht="24" customHeight="1">
      <c r="A29" s="1034"/>
      <c r="B29" s="1034"/>
      <c r="C29" s="1034"/>
      <c r="D29" s="362"/>
      <c r="E29" s="1017" t="s">
        <v>788</v>
      </c>
      <c r="F29" s="1017"/>
      <c r="G29" s="1028" t="s">
        <v>789</v>
      </c>
      <c r="H29" s="1028"/>
      <c r="I29" s="1028"/>
      <c r="J29" s="349"/>
      <c r="K29" s="344"/>
    </row>
    <row r="30" spans="1:11" ht="18" customHeight="1">
      <c r="A30" s="1034"/>
      <c r="B30" s="1034"/>
      <c r="C30" s="1034"/>
      <c r="D30" s="362"/>
      <c r="E30" s="1022" t="s">
        <v>613</v>
      </c>
      <c r="F30" s="1022"/>
      <c r="G30" s="876"/>
      <c r="H30" s="876"/>
      <c r="I30" s="876"/>
      <c r="J30" s="351"/>
      <c r="K30" s="344"/>
    </row>
    <row r="31" spans="1:11" ht="18" customHeight="1">
      <c r="A31" s="1034"/>
      <c r="B31" s="1034"/>
      <c r="C31" s="1034"/>
      <c r="D31" s="362"/>
      <c r="E31" s="460"/>
      <c r="F31" s="460"/>
      <c r="G31" s="876"/>
      <c r="H31" s="876"/>
      <c r="I31" s="876"/>
      <c r="J31" s="351"/>
      <c r="K31" s="344"/>
    </row>
    <row r="32" spans="1:11" ht="24" customHeight="1">
      <c r="A32" s="1034"/>
      <c r="B32" s="1034"/>
      <c r="C32" s="1034"/>
      <c r="D32" s="362"/>
      <c r="E32" s="1016" t="s">
        <v>790</v>
      </c>
      <c r="F32" s="1016"/>
      <c r="G32" s="1028" t="s">
        <v>791</v>
      </c>
      <c r="H32" s="1028"/>
      <c r="I32" s="1028"/>
      <c r="J32" s="348"/>
      <c r="K32" s="344"/>
    </row>
    <row r="33" spans="1:11" ht="18" customHeight="1">
      <c r="A33" s="1034"/>
      <c r="B33" s="1034"/>
      <c r="C33" s="1034"/>
      <c r="D33" s="362"/>
      <c r="E33" s="1022" t="s">
        <v>641</v>
      </c>
      <c r="F33" s="1022"/>
      <c r="G33" s="1028"/>
      <c r="H33" s="1028"/>
      <c r="I33" s="1028"/>
      <c r="J33" s="351"/>
      <c r="K33" s="344"/>
    </row>
    <row r="34" spans="1:11" ht="18" customHeight="1">
      <c r="A34" s="1034"/>
      <c r="B34" s="1034"/>
      <c r="C34" s="1034"/>
      <c r="D34" s="362"/>
      <c r="E34" s="882"/>
      <c r="F34" s="882"/>
      <c r="G34" s="876"/>
      <c r="H34" s="876"/>
      <c r="I34" s="876"/>
      <c r="J34" s="351"/>
      <c r="K34" s="344"/>
    </row>
    <row r="35" spans="1:11" ht="24" customHeight="1">
      <c r="A35" s="1034"/>
      <c r="B35" s="1034"/>
      <c r="C35" s="1034"/>
      <c r="D35" s="362"/>
      <c r="E35" s="1016" t="s">
        <v>2</v>
      </c>
      <c r="F35" s="1016"/>
      <c r="G35" s="1013" t="s">
        <v>10</v>
      </c>
      <c r="H35" s="1013"/>
      <c r="I35" s="1013"/>
      <c r="J35" s="352"/>
      <c r="K35" s="344"/>
    </row>
    <row r="36" spans="1:11" ht="18" customHeight="1">
      <c r="A36" s="1034"/>
      <c r="B36" s="1034"/>
      <c r="C36" s="1034"/>
      <c r="D36" s="362"/>
      <c r="E36" s="1022" t="s">
        <v>641</v>
      </c>
      <c r="F36" s="1022"/>
      <c r="G36" s="876"/>
      <c r="H36" s="876"/>
      <c r="I36" s="876"/>
      <c r="J36" s="349"/>
      <c r="K36" s="344"/>
    </row>
    <row r="37" spans="1:11" ht="18" customHeight="1">
      <c r="A37" s="1034"/>
      <c r="B37" s="1034"/>
      <c r="C37" s="1034"/>
      <c r="D37" s="362"/>
      <c r="E37" s="882"/>
      <c r="F37" s="882"/>
      <c r="G37" s="876"/>
      <c r="H37" s="876"/>
      <c r="I37" s="876"/>
      <c r="J37" s="348"/>
      <c r="K37" s="344"/>
    </row>
    <row r="38" spans="1:11" ht="18" customHeight="1">
      <c r="A38" s="1034"/>
      <c r="B38" s="1034"/>
      <c r="C38" s="1034"/>
      <c r="D38" s="362"/>
      <c r="E38" s="1015" t="s">
        <v>637</v>
      </c>
      <c r="F38" s="1015"/>
      <c r="G38" s="1015"/>
      <c r="H38" s="1015"/>
      <c r="I38" s="1015"/>
      <c r="J38" s="351"/>
      <c r="K38" s="344"/>
    </row>
    <row r="39" spans="1:11" ht="18" customHeight="1">
      <c r="A39" s="1034"/>
      <c r="B39" s="1034"/>
      <c r="C39" s="1034"/>
      <c r="D39" s="362"/>
      <c r="E39" s="883"/>
      <c r="F39" s="883"/>
      <c r="G39" s="884"/>
      <c r="H39" s="884"/>
      <c r="I39" s="885"/>
      <c r="J39" s="357"/>
      <c r="K39" s="344"/>
    </row>
    <row r="40" spans="1:11" ht="17.25" customHeight="1">
      <c r="A40" s="1034"/>
      <c r="B40" s="1034"/>
      <c r="C40" s="1034"/>
      <c r="D40" s="362"/>
      <c r="E40" s="886"/>
      <c r="F40" s="886"/>
      <c r="G40" s="359"/>
      <c r="H40" s="454"/>
      <c r="I40" s="454"/>
      <c r="J40" s="455"/>
      <c r="K40" s="344"/>
    </row>
    <row r="41" spans="1:11" ht="17.25" customHeight="1">
      <c r="A41" s="1034"/>
      <c r="B41" s="1034"/>
      <c r="C41" s="1034"/>
      <c r="D41" s="362"/>
      <c r="E41" s="886"/>
      <c r="F41" s="886"/>
      <c r="G41" s="360"/>
      <c r="H41" s="353" t="s">
        <v>120</v>
      </c>
      <c r="I41" s="1018" t="s">
        <v>3</v>
      </c>
      <c r="J41" s="1019"/>
      <c r="K41" s="344"/>
    </row>
    <row r="42" spans="1:11" ht="15" customHeight="1">
      <c r="A42" s="1034"/>
      <c r="B42" s="1034"/>
      <c r="C42" s="1034"/>
      <c r="D42" s="362"/>
      <c r="E42" s="886"/>
      <c r="F42" s="886"/>
      <c r="G42" s="360"/>
      <c r="H42" s="453" t="s">
        <v>639</v>
      </c>
      <c r="I42" s="1035" t="s">
        <v>640</v>
      </c>
      <c r="J42" s="1036"/>
      <c r="K42" s="344"/>
    </row>
    <row r="43" spans="1:11" ht="15" customHeight="1">
      <c r="A43" s="897"/>
      <c r="B43" s="897"/>
      <c r="C43" s="897"/>
      <c r="D43" s="887"/>
      <c r="E43" s="887"/>
      <c r="F43" s="887"/>
      <c r="G43" s="887"/>
      <c r="H43" s="453" t="s">
        <v>121</v>
      </c>
      <c r="I43" s="1018" t="s">
        <v>14</v>
      </c>
      <c r="J43" s="1019"/>
      <c r="K43" s="344"/>
    </row>
    <row r="44" spans="1:11" ht="15" customHeight="1">
      <c r="A44" s="897"/>
      <c r="B44" s="897"/>
      <c r="C44" s="897"/>
      <c r="D44" s="887"/>
      <c r="E44" s="887"/>
      <c r="F44" s="887"/>
      <c r="G44" s="887"/>
      <c r="H44" s="353" t="s">
        <v>122</v>
      </c>
      <c r="I44" s="1026" t="s">
        <v>15</v>
      </c>
      <c r="J44" s="1027"/>
      <c r="K44" s="344"/>
    </row>
    <row r="45" spans="1:11" ht="14.25" customHeight="1" thickBot="1">
      <c r="A45" s="354"/>
      <c r="B45" s="354"/>
      <c r="C45" s="879"/>
      <c r="D45" s="879"/>
      <c r="E45" s="879"/>
      <c r="F45" s="879"/>
      <c r="G45" s="1011" t="s">
        <v>792</v>
      </c>
      <c r="H45" s="1011"/>
      <c r="I45" s="1011"/>
      <c r="J45" s="1012"/>
      <c r="K45" s="344"/>
    </row>
    <row r="46" spans="1:11" ht="13.5">
      <c r="A46" s="361"/>
      <c r="B46" s="343"/>
      <c r="C46" s="343"/>
      <c r="D46" s="358"/>
      <c r="E46" s="456"/>
      <c r="F46" s="456"/>
      <c r="G46" s="456"/>
      <c r="H46" s="456"/>
      <c r="I46" s="456"/>
      <c r="J46" s="456"/>
      <c r="K46" s="456"/>
    </row>
  </sheetData>
  <sheetProtection password="FA80" sheet="1" objects="1" scenarios="1" formatCells="0" formatColumns="0" formatRows="0"/>
  <mergeCells count="46">
    <mergeCell ref="G4:I4"/>
    <mergeCell ref="G24:I24"/>
    <mergeCell ref="A2:B9"/>
    <mergeCell ref="F2:H2"/>
    <mergeCell ref="I2:J2"/>
    <mergeCell ref="A11:C42"/>
    <mergeCell ref="I42:J42"/>
    <mergeCell ref="E33:F33"/>
    <mergeCell ref="G29:I29"/>
    <mergeCell ref="G26:I26"/>
    <mergeCell ref="E30:F30"/>
    <mergeCell ref="E17:F17"/>
    <mergeCell ref="E18:F18"/>
    <mergeCell ref="E36:F36"/>
    <mergeCell ref="I43:J43"/>
    <mergeCell ref="I44:J44"/>
    <mergeCell ref="G32:I33"/>
    <mergeCell ref="G5:I5"/>
    <mergeCell ref="G8:I8"/>
    <mergeCell ref="G9:I9"/>
    <mergeCell ref="G23:I23"/>
    <mergeCell ref="G15:I15"/>
    <mergeCell ref="G10:I10"/>
    <mergeCell ref="G14:I14"/>
    <mergeCell ref="G21:I21"/>
    <mergeCell ref="G12:I12"/>
    <mergeCell ref="E5:F5"/>
    <mergeCell ref="H20:I20"/>
    <mergeCell ref="G17:I17"/>
    <mergeCell ref="G18:I18"/>
    <mergeCell ref="G19:I19"/>
    <mergeCell ref="E6:F6"/>
    <mergeCell ref="G13:I13"/>
    <mergeCell ref="H11:I11"/>
    <mergeCell ref="G6:I6"/>
    <mergeCell ref="H7:I7"/>
    <mergeCell ref="G45:J45"/>
    <mergeCell ref="G35:I35"/>
    <mergeCell ref="H22:I22"/>
    <mergeCell ref="E38:I38"/>
    <mergeCell ref="G27:I27"/>
    <mergeCell ref="G25:I25"/>
    <mergeCell ref="E35:F35"/>
    <mergeCell ref="E32:F32"/>
    <mergeCell ref="E29:F29"/>
    <mergeCell ref="I41:J41"/>
  </mergeCells>
  <hyperlinks>
    <hyperlink ref="E5" location="'General Calc''s'!H1" display="General Calc's"/>
    <hyperlink ref="G8" location="'General Calc''s'!C27" display="Quick ABV Estimator"/>
    <hyperlink ref="G10" location="'General Calc''s'!B42" display="Priming Sparkling Wines, Ciders, Meads &amp; Beers"/>
    <hyperlink ref="G13" location="'General Calc''s'!X1" display="BMI Calculators"/>
    <hyperlink ref="G12" location="'General Calc''s'!N69" display="Hydrometer Temperature Correction"/>
    <hyperlink ref="G18" location="'Wine Calc'!B3" display="Summary for Finished Wine"/>
    <hyperlink ref="G19" location="'Wine Calc'!AA1" display="Typical Wine Parameters"/>
    <hyperlink ref="G21" location="'Wine Calc'!G68" display="Priming Ciders &amp; Sparkling Wines"/>
    <hyperlink ref="G23" location="'Wine Calc'!H90" display="Sugar Solutions (Syrups)"/>
    <hyperlink ref="G25" location="'Wine Calc'!H101" display="Fortifying Wines"/>
    <hyperlink ref="H5" location="'General Calc''s'!B3" display="General Converters - Vol., weights etc."/>
    <hyperlink ref="H8" location="'General Calc''s'!C27" display="Quick ABV Estimator"/>
    <hyperlink ref="H10" location="'General Calc''s'!B42" display="Priming Sparkling Wines, Ciders, Meads &amp; Beers"/>
    <hyperlink ref="H12" location="'General Calc''s'!N69" display="Hydrometer Temperature Correction"/>
    <hyperlink ref="H18" location="'Wine Calc'!B3" display="Summary for Finished Wine"/>
    <hyperlink ref="H19" location="'Wine Calc'!AA1" display="Typical Wine Parameters"/>
    <hyperlink ref="H20" location="'Wine Calc'!G59" display="Calorie/unit counter."/>
    <hyperlink ref="H21" location="'Wine Calc'!G68" display="Priming Ciders &amp; Sparkling Wines"/>
    <hyperlink ref="H22" location="'Wine Calc'!G81" display="Calorie/unit counter."/>
    <hyperlink ref="H23" location="'Wine Calc'!H90" display="Sugar Solutions (Syrups)"/>
    <hyperlink ref="H25" location="'Wine Calc'!H101" display="Fortifying Wines"/>
    <hyperlink ref="I41" r:id="rId1" display="www.PetesPintPot.co.uk"/>
    <hyperlink ref="I42" r:id="rId2" display="jamesbsmith@hotmail.com"/>
    <hyperlink ref="I43" r:id="rId3" display="david.barrow@live.co.uk"/>
    <hyperlink ref="I44" r:id="rId4" display="www.yobrew.co.uk"/>
    <hyperlink ref="G5:H5" location="'General Calc''s'!C3" display="General Converters - Vol., weights etc."/>
    <hyperlink ref="G8:H8" location="'General Calc''s'!C37" display="Quick ABV Estimator"/>
    <hyperlink ref="G10:H10" location="'General Calc''s'!C40" display="Priming Sparkling Wines, Ciders, Meads &amp; Beers"/>
    <hyperlink ref="G13:H13" location="'General Calc''s'!X2" display="Health Section"/>
    <hyperlink ref="G12:H12" location="'General Calc''s'!O63" display="Hydrometer Temperature Correction"/>
    <hyperlink ref="G14" location="'General Calc''s'!B54" display="Health Section - BMI Calculator Etc."/>
    <hyperlink ref="H14" location="'General Calc''s'!B54" display="Health Section - BMI Calculator Etc."/>
    <hyperlink ref="G14:H14" location="'General Calc''s'!X2" display="Health Section"/>
    <hyperlink ref="E35" location="'Jam'!I1" display="Jam Calculator"/>
    <hyperlink ref="E32" location="'Cocktail Calc'!F1" display="Cocktail Unit Calculator"/>
    <hyperlink ref="E29" location="'Acid Check'!E1" display="James' Acid Calc's"/>
    <hyperlink ref="E17" location="'Wine Calc'!I1" display="Wine Calculator"/>
    <hyperlink ref="G8:I8" location="'General Calc''s'!C37" display="Quick ABV Estimator"/>
    <hyperlink ref="G10:I10" location="'General Calc''s'!C56" display="Priming Sparkling Wines, Ciders, Meads &amp; Beers"/>
    <hyperlink ref="G12:I12" location="'General Calc''s'!B71" display="Hydrometer Temperature Correction"/>
    <hyperlink ref="G27:I27" location="'Wine Calc'!H125" display="TCP Taste/Aroma"/>
    <hyperlink ref="G14:I14" location="'General Calc''s'!X26" display="Safe Drinking"/>
    <hyperlink ref="H20:I20" location="'Wine Calc'!G67" display="Calorie/unit counter."/>
    <hyperlink ref="G21:I21" location="'Wine Calc'!G76" display="Priming Ciders &amp; Sparkling Wines"/>
    <hyperlink ref="H22:I22" location="'Wine Calc'!G88" display="Calorie/Unit Counter (After Priming)"/>
    <hyperlink ref="G23:I23" location="'Wine Calc'!H97" display="Sugar Solutions &amp; Weights"/>
    <hyperlink ref="G25:I25" location="'Wine Calc'!N108" display="Fortifying Wines"/>
    <hyperlink ref="G26:I26" location="'Wine Calc'!H119" display="ABV for FINISHED, DRY wines only."/>
    <hyperlink ref="G9:I9" location="'General Calc''s'!C46" display="°Brix, Plato, Balling &amp; Baumé"/>
    <hyperlink ref="G6:I6" location="'General Calc''s'!C30" display="UK/US Proof/% converters Etc."/>
    <hyperlink ref="G15" location="'General Calc''s'!B79" display="Wine &amp; Beer Sugar Stages"/>
    <hyperlink ref="H15" location="'General Calc''s'!B79" display="Wine &amp; Beer Sugar Stages"/>
    <hyperlink ref="G15:H15" location="'General Calc''s'!C80" display="Wine &amp; Beer Sugar Stages"/>
    <hyperlink ref="G15:I15" location="'General Calc''s'!W51" display="Making Wine (&amp; Beer) In Stages"/>
    <hyperlink ref="E29:F29" location="'James'' Acid Calculator'!A1" display="James' Acid Calculator"/>
    <hyperlink ref="G13:I13" location="'General Calc''s'!X1" display="BMI Calculators"/>
    <hyperlink ref="G24:I24" location="'Wine Calc'!H108" display="Some Dried Fruit Eqivalents"/>
  </hyperlinks>
  <printOptions horizontalCentered="1" verticalCentered="1"/>
  <pageMargins left="0.24" right="0.41" top="0.48" bottom="0.31496062992126" header="0.25" footer="0.31496062992126"/>
  <pageSetup fitToHeight="1" fitToWidth="1" horizontalDpi="300" verticalDpi="300" orientation="portrait" paperSize="9" scale="89" r:id="rId6"/>
  <drawing r:id="rId5"/>
</worksheet>
</file>

<file path=xl/worksheets/sheet2.xml><?xml version="1.0" encoding="utf-8"?>
<worksheet xmlns="http://schemas.openxmlformats.org/spreadsheetml/2006/main" xmlns:r="http://schemas.openxmlformats.org/officeDocument/2006/relationships">
  <sheetPr>
    <tabColor indexed="35"/>
  </sheetPr>
  <dimension ref="A1:AL78"/>
  <sheetViews>
    <sheetView zoomScale="75" zoomScaleNormal="75" zoomScaleSheetLayoutView="100" zoomScalePageLayoutView="0" workbookViewId="0" topLeftCell="A1">
      <selection activeCell="I23" sqref="I23"/>
    </sheetView>
  </sheetViews>
  <sheetFormatPr defaultColWidth="9.140625" defaultRowHeight="15"/>
  <cols>
    <col min="1" max="1" width="1.7109375" style="290" customWidth="1"/>
    <col min="2" max="2" width="5.7109375" style="299" customWidth="1"/>
    <col min="3" max="3" width="25.00390625" style="299" customWidth="1"/>
    <col min="4" max="6" width="8.140625" style="299" customWidth="1"/>
    <col min="7" max="8" width="7.7109375" style="299" customWidth="1"/>
    <col min="9" max="9" width="8.28125" style="299" customWidth="1"/>
    <col min="10" max="15" width="8.140625" style="299" customWidth="1"/>
    <col min="16" max="16" width="8.28125" style="299" customWidth="1"/>
    <col min="17" max="17" width="8.140625" style="299" customWidth="1"/>
    <col min="18" max="18" width="8.140625" style="110" customWidth="1"/>
    <col min="19" max="19" width="7.00390625" style="110" hidden="1" customWidth="1"/>
    <col min="20" max="20" width="8.140625" style="290" hidden="1" customWidth="1"/>
    <col min="21" max="21" width="6.7109375" style="290" hidden="1" customWidth="1"/>
    <col min="22" max="22" width="2.140625" style="290" customWidth="1"/>
    <col min="23" max="23" width="5.28125" style="299" customWidth="1"/>
    <col min="24" max="24" width="22.8515625" style="299" customWidth="1"/>
    <col min="25" max="30" width="8.28125" style="299" customWidth="1"/>
    <col min="31" max="32" width="8.140625" style="299" customWidth="1"/>
    <col min="33" max="33" width="8.28125" style="299" customWidth="1"/>
    <col min="34" max="34" width="8.57421875" style="299" customWidth="1"/>
    <col min="35" max="35" width="6.8515625" style="299" customWidth="1"/>
    <col min="36" max="36" width="8.140625" style="299" customWidth="1"/>
    <col min="37" max="37" width="3.28125" style="299" customWidth="1"/>
    <col min="38" max="38" width="6.00390625" style="299" customWidth="1"/>
    <col min="39" max="39" width="5.00390625" style="290" customWidth="1"/>
    <col min="40" max="16384" width="8.8515625" style="290" customWidth="1"/>
  </cols>
  <sheetData>
    <row r="1" spans="1:38" ht="19.5" customHeight="1">
      <c r="A1" s="291"/>
      <c r="B1" s="120"/>
      <c r="C1" s="120"/>
      <c r="D1" s="120"/>
      <c r="E1" s="120"/>
      <c r="F1" s="120"/>
      <c r="G1" s="936" t="s">
        <v>800</v>
      </c>
      <c r="H1" s="936"/>
      <c r="I1" s="936"/>
      <c r="J1" s="936"/>
      <c r="K1" s="936"/>
      <c r="L1" s="120"/>
      <c r="M1" s="120"/>
      <c r="N1" s="120"/>
      <c r="O1" s="120"/>
      <c r="P1" s="939" t="s">
        <v>613</v>
      </c>
      <c r="Q1" s="939"/>
      <c r="R1" s="939"/>
      <c r="S1" s="134"/>
      <c r="T1" s="292"/>
      <c r="U1" s="292"/>
      <c r="V1" s="277"/>
      <c r="W1" s="956" t="s">
        <v>638</v>
      </c>
      <c r="X1" s="956"/>
      <c r="Y1" s="286"/>
      <c r="Z1" s="286"/>
      <c r="AA1" s="286"/>
      <c r="AB1" s="298"/>
      <c r="AC1" s="298"/>
      <c r="AD1" s="298"/>
      <c r="AE1" s="298"/>
      <c r="AF1" s="298"/>
      <c r="AG1" s="298"/>
      <c r="AH1" s="298"/>
      <c r="AI1" s="320"/>
      <c r="AJ1" s="118"/>
      <c r="AK1" s="298"/>
      <c r="AL1" s="298"/>
    </row>
    <row r="2" spans="1:38" ht="15" customHeight="1">
      <c r="A2" s="978" t="s">
        <v>614</v>
      </c>
      <c r="B2" s="978"/>
      <c r="C2" s="978"/>
      <c r="D2" s="257"/>
      <c r="E2" s="257"/>
      <c r="F2" s="257"/>
      <c r="G2" s="257"/>
      <c r="H2" s="257"/>
      <c r="I2" s="257"/>
      <c r="J2" s="257"/>
      <c r="K2" s="257"/>
      <c r="L2" s="257"/>
      <c r="M2" s="257"/>
      <c r="N2" s="257"/>
      <c r="O2" s="257"/>
      <c r="P2" s="940" t="s">
        <v>3</v>
      </c>
      <c r="Q2" s="940"/>
      <c r="R2" s="940"/>
      <c r="V2" s="277"/>
      <c r="W2" s="296"/>
      <c r="X2" s="833"/>
      <c r="Y2" s="831" t="s">
        <v>53</v>
      </c>
      <c r="Z2" s="954" t="s">
        <v>66</v>
      </c>
      <c r="AA2" s="955"/>
      <c r="AB2" s="298"/>
      <c r="AC2" s="990" t="s">
        <v>83</v>
      </c>
      <c r="AD2" s="990"/>
      <c r="AE2" s="990"/>
      <c r="AF2" s="990"/>
      <c r="AG2" s="298"/>
      <c r="AH2" s="382" t="s">
        <v>148</v>
      </c>
      <c r="AI2" s="297"/>
      <c r="AJ2" s="293"/>
      <c r="AK2" s="298"/>
      <c r="AL2" s="298"/>
    </row>
    <row r="3" spans="1:38" ht="15" customHeight="1">
      <c r="A3" s="40"/>
      <c r="B3" s="979" t="s">
        <v>16</v>
      </c>
      <c r="C3" s="980"/>
      <c r="D3" s="89"/>
      <c r="E3" s="90"/>
      <c r="F3" s="293"/>
      <c r="G3" s="294"/>
      <c r="H3" s="294"/>
      <c r="I3" s="294"/>
      <c r="J3" s="295"/>
      <c r="K3" s="295"/>
      <c r="L3" s="295"/>
      <c r="M3" s="54"/>
      <c r="N3" s="54"/>
      <c r="O3" s="54"/>
      <c r="P3" s="296"/>
      <c r="Q3" s="296"/>
      <c r="R3" s="37"/>
      <c r="V3" s="277"/>
      <c r="W3" s="296"/>
      <c r="X3" s="834" t="s">
        <v>28</v>
      </c>
      <c r="Y3" s="832" t="s">
        <v>54</v>
      </c>
      <c r="Z3" s="832" t="s">
        <v>67</v>
      </c>
      <c r="AA3" s="832" t="s">
        <v>77</v>
      </c>
      <c r="AB3" s="298"/>
      <c r="AC3" s="41" t="s">
        <v>67</v>
      </c>
      <c r="AD3" s="41" t="s">
        <v>77</v>
      </c>
      <c r="AE3" s="41" t="s">
        <v>112</v>
      </c>
      <c r="AF3" s="41" t="s">
        <v>54</v>
      </c>
      <c r="AG3" s="298"/>
      <c r="AH3" s="59" t="s">
        <v>54</v>
      </c>
      <c r="AI3" s="41" t="s">
        <v>112</v>
      </c>
      <c r="AJ3" s="41" t="s">
        <v>140</v>
      </c>
      <c r="AK3" s="298"/>
      <c r="AL3" s="298"/>
    </row>
    <row r="4" spans="1:38" ht="15" customHeight="1">
      <c r="A4" s="40"/>
      <c r="B4" s="316"/>
      <c r="C4" s="290"/>
      <c r="D4" s="89"/>
      <c r="E4" s="90"/>
      <c r="F4" s="293"/>
      <c r="G4" s="294"/>
      <c r="H4" s="294"/>
      <c r="I4" s="294"/>
      <c r="J4" s="295"/>
      <c r="K4" s="295"/>
      <c r="L4" s="295"/>
      <c r="M4" s="54"/>
      <c r="N4" s="54"/>
      <c r="O4" s="54"/>
      <c r="P4" s="296"/>
      <c r="Q4" s="296"/>
      <c r="R4" s="37"/>
      <c r="S4" s="110">
        <f>Z4*12+AA4</f>
        <v>69</v>
      </c>
      <c r="T4" s="571" t="s">
        <v>694</v>
      </c>
      <c r="U4" s="110">
        <f>0.0254*S4</f>
        <v>1.7526</v>
      </c>
      <c r="V4" s="273"/>
      <c r="W4" s="296"/>
      <c r="X4" s="830"/>
      <c r="Y4" s="331">
        <v>1.75</v>
      </c>
      <c r="Z4" s="331">
        <v>5</v>
      </c>
      <c r="AA4" s="331">
        <v>9</v>
      </c>
      <c r="AB4" s="298"/>
      <c r="AC4" s="45">
        <v>6</v>
      </c>
      <c r="AD4" s="45">
        <v>1</v>
      </c>
      <c r="AE4" s="41">
        <f>(AC4*12+AD4)</f>
        <v>73</v>
      </c>
      <c r="AF4" s="46">
        <f>(AC4*12+AD4)*0.0254</f>
        <v>1.8541999999999998</v>
      </c>
      <c r="AG4" s="293"/>
      <c r="AH4" s="45">
        <v>1.533</v>
      </c>
      <c r="AI4" s="41" t="str">
        <f>FIXED(AH4*39.37,1)</f>
        <v>60.4</v>
      </c>
      <c r="AJ4" s="43" t="str">
        <f>INT(AH4*39.37/12)&amp;" ft  "&amp;FIXED(MOD(AH4*39.37,12),1)&amp;""</f>
        <v>5 ft  0.4</v>
      </c>
      <c r="AK4" s="298"/>
      <c r="AL4" s="298"/>
    </row>
    <row r="5" spans="1:38" ht="15" customHeight="1">
      <c r="A5" s="40"/>
      <c r="B5" s="316"/>
      <c r="C5" s="91" t="s">
        <v>18</v>
      </c>
      <c r="D5" s="41" t="s">
        <v>41</v>
      </c>
      <c r="E5" s="42" t="s">
        <v>61</v>
      </c>
      <c r="F5" s="41" t="s">
        <v>70</v>
      </c>
      <c r="G5" s="80"/>
      <c r="H5" s="293"/>
      <c r="I5" s="41" t="s">
        <v>61</v>
      </c>
      <c r="J5" s="42" t="s">
        <v>41</v>
      </c>
      <c r="K5" s="42" t="s">
        <v>70</v>
      </c>
      <c r="L5" s="296"/>
      <c r="M5" s="296"/>
      <c r="N5" s="296"/>
      <c r="O5" s="41" t="s">
        <v>61</v>
      </c>
      <c r="P5" s="42" t="s">
        <v>70</v>
      </c>
      <c r="Q5" s="41" t="s">
        <v>41</v>
      </c>
      <c r="R5" s="37"/>
      <c r="T5" s="110"/>
      <c r="U5" s="110"/>
      <c r="V5" s="273"/>
      <c r="W5" s="296"/>
      <c r="X5" s="834" t="s">
        <v>29</v>
      </c>
      <c r="Y5" s="826" t="s">
        <v>44</v>
      </c>
      <c r="Z5" s="825" t="s">
        <v>68</v>
      </c>
      <c r="AA5" s="826" t="s">
        <v>72</v>
      </c>
      <c r="AB5" s="298"/>
      <c r="AC5" s="298"/>
      <c r="AD5" s="298"/>
      <c r="AE5" s="298"/>
      <c r="AF5" s="298"/>
      <c r="AG5" s="298"/>
      <c r="AH5" s="298"/>
      <c r="AI5" s="298"/>
      <c r="AJ5" s="298"/>
      <c r="AK5" s="298"/>
      <c r="AL5" s="298"/>
    </row>
    <row r="6" spans="1:38" ht="15" customHeight="1">
      <c r="A6" s="40"/>
      <c r="B6" s="316"/>
      <c r="C6" s="260" t="s">
        <v>19</v>
      </c>
      <c r="D6" s="43">
        <f>E6/3.7854</f>
        <v>6.075976118772124</v>
      </c>
      <c r="E6" s="584">
        <v>23</v>
      </c>
      <c r="F6" s="43">
        <f>D6*(5/6)</f>
        <v>5.063313432310104</v>
      </c>
      <c r="G6" s="53"/>
      <c r="H6" s="293"/>
      <c r="I6" s="43">
        <f>3.7854*J6</f>
        <v>3.7854</v>
      </c>
      <c r="J6" s="585">
        <v>1</v>
      </c>
      <c r="K6" s="43">
        <f>J6*(5/6)</f>
        <v>0.8333333333333334</v>
      </c>
      <c r="L6" s="296"/>
      <c r="M6" s="296"/>
      <c r="N6" s="296"/>
      <c r="O6" s="43">
        <f>3.7854*Q6</f>
        <v>22.712400000000002</v>
      </c>
      <c r="P6" s="584">
        <v>5</v>
      </c>
      <c r="Q6" s="43">
        <f>P6*(6/5)</f>
        <v>6</v>
      </c>
      <c r="R6" s="37"/>
      <c r="S6" s="110">
        <f>Z6*14+AA6</f>
        <v>176</v>
      </c>
      <c r="T6" s="571" t="s">
        <v>695</v>
      </c>
      <c r="U6" s="115">
        <f>0.454*S6</f>
        <v>79.904</v>
      </c>
      <c r="V6" s="273"/>
      <c r="W6" s="296"/>
      <c r="X6" s="830"/>
      <c r="Y6" s="331">
        <v>76.4</v>
      </c>
      <c r="Z6" s="829">
        <v>12</v>
      </c>
      <c r="AA6" s="331">
        <v>8</v>
      </c>
      <c r="AB6" s="298"/>
      <c r="AC6" s="298"/>
      <c r="AD6" s="298"/>
      <c r="AE6" s="298"/>
      <c r="AF6" s="298"/>
      <c r="AG6" s="298"/>
      <c r="AH6" s="298"/>
      <c r="AI6" s="298"/>
      <c r="AJ6" s="298"/>
      <c r="AK6" s="298"/>
      <c r="AL6" s="298"/>
    </row>
    <row r="7" spans="1:38" ht="15" customHeight="1">
      <c r="A7" s="40"/>
      <c r="B7" s="316"/>
      <c r="C7" s="262" t="s">
        <v>20</v>
      </c>
      <c r="D7" s="53"/>
      <c r="E7" s="37"/>
      <c r="F7" s="53"/>
      <c r="G7" s="53"/>
      <c r="H7" s="293"/>
      <c r="I7" s="53"/>
      <c r="J7" s="37"/>
      <c r="K7" s="37"/>
      <c r="L7" s="37"/>
      <c r="M7" s="296"/>
      <c r="N7" s="296"/>
      <c r="O7" s="53"/>
      <c r="P7" s="37"/>
      <c r="Q7" s="53"/>
      <c r="R7" s="37"/>
      <c r="V7" s="277"/>
      <c r="W7" s="296"/>
      <c r="X7" s="827" t="s">
        <v>30</v>
      </c>
      <c r="Y7" s="828">
        <f>Y6/(Y4*Y4)</f>
        <v>24.946938775510205</v>
      </c>
      <c r="Z7" s="953">
        <f>U6/(U4^2)</f>
        <v>26.013746629467633</v>
      </c>
      <c r="AA7" s="953"/>
      <c r="AB7" s="298"/>
      <c r="AC7" s="298"/>
      <c r="AD7" s="298"/>
      <c r="AE7" s="298"/>
      <c r="AF7" s="298"/>
      <c r="AG7" s="298"/>
      <c r="AH7" s="298"/>
      <c r="AI7" s="298"/>
      <c r="AJ7" s="298"/>
      <c r="AK7" s="298"/>
      <c r="AL7" s="298"/>
    </row>
    <row r="8" spans="1:38" ht="15" customHeight="1">
      <c r="A8" s="40"/>
      <c r="B8" s="296"/>
      <c r="C8" s="262" t="s">
        <v>21</v>
      </c>
      <c r="D8" s="41" t="s">
        <v>42</v>
      </c>
      <c r="E8" s="42" t="s">
        <v>61</v>
      </c>
      <c r="F8" s="41" t="s">
        <v>71</v>
      </c>
      <c r="G8" s="293"/>
      <c r="H8" s="293"/>
      <c r="I8" s="41" t="s">
        <v>61</v>
      </c>
      <c r="J8" s="586" t="s">
        <v>42</v>
      </c>
      <c r="K8" s="42" t="s">
        <v>71</v>
      </c>
      <c r="L8" s="296"/>
      <c r="M8" s="296"/>
      <c r="N8" s="296"/>
      <c r="O8" s="41" t="s">
        <v>61</v>
      </c>
      <c r="P8" s="42" t="s">
        <v>71</v>
      </c>
      <c r="Q8" s="41" t="s">
        <v>42</v>
      </c>
      <c r="R8" s="37"/>
      <c r="V8" s="277"/>
      <c r="W8" s="296"/>
      <c r="X8" s="85" t="s">
        <v>31</v>
      </c>
      <c r="Y8" s="947" t="s">
        <v>55</v>
      </c>
      <c r="Z8" s="948"/>
      <c r="AA8" s="945"/>
      <c r="AB8" s="298"/>
      <c r="AC8" s="298"/>
      <c r="AD8" s="298"/>
      <c r="AE8" s="298"/>
      <c r="AF8" s="298"/>
      <c r="AG8" s="298"/>
      <c r="AH8" s="298"/>
      <c r="AI8" s="298"/>
      <c r="AJ8" s="298"/>
      <c r="AK8" s="298"/>
      <c r="AL8" s="298"/>
    </row>
    <row r="9" spans="1:38" ht="15" customHeight="1">
      <c r="A9" s="40"/>
      <c r="B9" s="296"/>
      <c r="C9" s="261" t="s">
        <v>22</v>
      </c>
      <c r="D9" s="43">
        <f>8*E9/3.7854</f>
        <v>48.607808950176995</v>
      </c>
      <c r="E9" s="584">
        <v>23</v>
      </c>
      <c r="F9" s="43">
        <f>D9*(5/6)</f>
        <v>40.50650745848083</v>
      </c>
      <c r="G9" s="293"/>
      <c r="H9" s="293"/>
      <c r="I9" s="43">
        <f>3.7854*J9/8</f>
        <v>22.712400000000002</v>
      </c>
      <c r="J9" s="44">
        <v>48</v>
      </c>
      <c r="K9" s="43">
        <f>J9*(5/6)</f>
        <v>40</v>
      </c>
      <c r="L9" s="296"/>
      <c r="M9" s="296"/>
      <c r="N9" s="296"/>
      <c r="O9" s="43">
        <f>3.7854*Q9/8</f>
        <v>22.712400000000002</v>
      </c>
      <c r="P9" s="584">
        <v>40</v>
      </c>
      <c r="Q9" s="43">
        <f>P9*(6/5)</f>
        <v>48</v>
      </c>
      <c r="R9" s="37"/>
      <c r="U9" s="308"/>
      <c r="V9" s="277"/>
      <c r="W9" s="296"/>
      <c r="X9" s="86" t="s">
        <v>32</v>
      </c>
      <c r="Y9" s="946" t="s">
        <v>56</v>
      </c>
      <c r="Z9" s="937"/>
      <c r="AA9" s="938"/>
      <c r="AB9" s="298"/>
      <c r="AC9" s="298"/>
      <c r="AD9" s="298"/>
      <c r="AE9" s="298"/>
      <c r="AF9" s="298"/>
      <c r="AG9" s="298"/>
      <c r="AH9" s="298"/>
      <c r="AI9" s="298"/>
      <c r="AJ9" s="298"/>
      <c r="AK9" s="298"/>
      <c r="AL9" s="298"/>
    </row>
    <row r="10" spans="1:38" ht="15" customHeight="1">
      <c r="A10" s="40"/>
      <c r="B10" s="296"/>
      <c r="C10" s="296"/>
      <c r="D10" s="293"/>
      <c r="E10" s="296"/>
      <c r="F10" s="293"/>
      <c r="G10" s="293"/>
      <c r="H10" s="293"/>
      <c r="I10" s="293"/>
      <c r="J10" s="293"/>
      <c r="K10" s="293"/>
      <c r="L10" s="293"/>
      <c r="M10" s="293"/>
      <c r="N10" s="293"/>
      <c r="O10" s="293"/>
      <c r="P10" s="293"/>
      <c r="Q10" s="293"/>
      <c r="R10" s="37"/>
      <c r="V10" s="277"/>
      <c r="W10" s="296"/>
      <c r="X10" s="87" t="s">
        <v>33</v>
      </c>
      <c r="Y10" s="957" t="s">
        <v>57</v>
      </c>
      <c r="Z10" s="958"/>
      <c r="AA10" s="949"/>
      <c r="AB10" s="298"/>
      <c r="AC10" s="298"/>
      <c r="AD10" s="298"/>
      <c r="AE10" s="298"/>
      <c r="AF10" s="298"/>
      <c r="AG10" s="298"/>
      <c r="AH10" s="298"/>
      <c r="AI10" s="298"/>
      <c r="AJ10" s="298"/>
      <c r="AK10" s="298"/>
      <c r="AL10" s="298"/>
    </row>
    <row r="11" spans="1:38" ht="15" customHeight="1">
      <c r="A11" s="40"/>
      <c r="B11" s="296"/>
      <c r="C11" s="296"/>
      <c r="D11" s="293"/>
      <c r="E11" s="296"/>
      <c r="F11" s="293"/>
      <c r="G11" s="293"/>
      <c r="H11" s="293"/>
      <c r="I11" s="293"/>
      <c r="J11" s="293"/>
      <c r="K11" s="293"/>
      <c r="L11" s="293"/>
      <c r="M11" s="293"/>
      <c r="N11" s="293"/>
      <c r="O11" s="293"/>
      <c r="P11" s="293"/>
      <c r="Q11" s="293"/>
      <c r="R11" s="37"/>
      <c r="V11" s="277"/>
      <c r="W11" s="296"/>
      <c r="X11" s="88" t="s">
        <v>34</v>
      </c>
      <c r="Y11" s="950" t="s">
        <v>58</v>
      </c>
      <c r="Z11" s="951"/>
      <c r="AA11" s="952"/>
      <c r="AB11" s="298"/>
      <c r="AC11" s="298"/>
      <c r="AD11" s="303"/>
      <c r="AE11" s="277"/>
      <c r="AF11" s="277"/>
      <c r="AG11" s="277"/>
      <c r="AH11" s="298"/>
      <c r="AI11" s="297"/>
      <c r="AJ11" s="297"/>
      <c r="AK11" s="298"/>
      <c r="AL11" s="298"/>
    </row>
    <row r="12" spans="1:38" ht="15" customHeight="1">
      <c r="A12" s="40"/>
      <c r="B12" s="296"/>
      <c r="C12" s="91" t="s">
        <v>23</v>
      </c>
      <c r="D12" s="41" t="s">
        <v>43</v>
      </c>
      <c r="E12" s="42" t="s">
        <v>62</v>
      </c>
      <c r="F12" s="41" t="s">
        <v>72</v>
      </c>
      <c r="G12" s="80"/>
      <c r="H12" s="293"/>
      <c r="I12" s="41" t="s">
        <v>52</v>
      </c>
      <c r="J12" s="981" t="s">
        <v>620</v>
      </c>
      <c r="K12" s="976"/>
      <c r="L12" s="976"/>
      <c r="M12" s="972"/>
      <c r="N12" s="293"/>
      <c r="O12" s="41" t="s">
        <v>43</v>
      </c>
      <c r="P12" s="41" t="s">
        <v>62</v>
      </c>
      <c r="Q12" s="41" t="s">
        <v>126</v>
      </c>
      <c r="R12" s="37"/>
      <c r="V12" s="277"/>
      <c r="W12" s="296"/>
      <c r="X12" s="969" t="s">
        <v>619</v>
      </c>
      <c r="Y12" s="969"/>
      <c r="Z12" s="969"/>
      <c r="AA12" s="969"/>
      <c r="AB12" s="298"/>
      <c r="AC12" s="298"/>
      <c r="AD12" s="298"/>
      <c r="AE12" s="277"/>
      <c r="AF12" s="277"/>
      <c r="AG12" s="277"/>
      <c r="AH12" s="277"/>
      <c r="AI12" s="298"/>
      <c r="AJ12" s="297"/>
      <c r="AK12" s="298"/>
      <c r="AL12" s="298"/>
    </row>
    <row r="13" spans="1:38" ht="15" customHeight="1">
      <c r="A13" s="40"/>
      <c r="B13" s="296"/>
      <c r="C13" s="51" t="s">
        <v>24</v>
      </c>
      <c r="D13" s="43">
        <f>1000*E13*0.4536</f>
        <v>453.6</v>
      </c>
      <c r="E13" s="584">
        <v>1</v>
      </c>
      <c r="F13" s="46">
        <f>E13/0.4536</f>
        <v>2.204585537918871</v>
      </c>
      <c r="G13" s="92"/>
      <c r="H13" s="296"/>
      <c r="I13" s="584">
        <v>72.5</v>
      </c>
      <c r="J13" s="43">
        <f>I13/(1000*0.4536)</f>
        <v>0.15983245149911815</v>
      </c>
      <c r="K13" s="43">
        <f>16*J13</f>
        <v>2.5573192239858904</v>
      </c>
      <c r="L13" s="41">
        <f>INT(K13/16)</f>
        <v>0</v>
      </c>
      <c r="M13" s="55">
        <f>K13-16*L13</f>
        <v>2.5573192239858904</v>
      </c>
      <c r="N13" s="293"/>
      <c r="O13" s="43">
        <f>P13*28.3495</f>
        <v>793.786</v>
      </c>
      <c r="P13" s="584">
        <v>28</v>
      </c>
      <c r="Q13" s="46">
        <f>P13/28.3495</f>
        <v>0.9876717402423324</v>
      </c>
      <c r="R13" s="37"/>
      <c r="V13" s="277"/>
      <c r="W13" s="296"/>
      <c r="X13" s="314"/>
      <c r="Y13" s="314"/>
      <c r="Z13" s="314"/>
      <c r="AA13" s="314"/>
      <c r="AB13" s="298"/>
      <c r="AC13" s="298"/>
      <c r="AD13" s="298"/>
      <c r="AE13" s="298"/>
      <c r="AF13" s="298"/>
      <c r="AG13" s="298"/>
      <c r="AH13" s="298"/>
      <c r="AI13" s="298"/>
      <c r="AJ13" s="298"/>
      <c r="AK13" s="298"/>
      <c r="AL13" s="298"/>
    </row>
    <row r="14" spans="1:38" ht="15" customHeight="1">
      <c r="A14" s="40"/>
      <c r="B14" s="37"/>
      <c r="C14" s="53"/>
      <c r="D14" s="53"/>
      <c r="E14" s="293"/>
      <c r="F14" s="293"/>
      <c r="G14" s="293"/>
      <c r="H14" s="293"/>
      <c r="I14" s="293"/>
      <c r="J14" s="293"/>
      <c r="K14" s="53"/>
      <c r="L14" s="53"/>
      <c r="M14" s="53"/>
      <c r="N14" s="293"/>
      <c r="O14" s="293"/>
      <c r="P14" s="293"/>
      <c r="Q14" s="293"/>
      <c r="R14" s="37"/>
      <c r="V14" s="277"/>
      <c r="W14" s="296"/>
      <c r="X14" s="962" t="s">
        <v>35</v>
      </c>
      <c r="Y14" s="962"/>
      <c r="Z14" s="962"/>
      <c r="AA14" s="962"/>
      <c r="AB14" s="298"/>
      <c r="AC14" s="298"/>
      <c r="AD14" s="298"/>
      <c r="AE14" s="298"/>
      <c r="AF14" s="298"/>
      <c r="AG14" s="298"/>
      <c r="AH14" s="298"/>
      <c r="AI14" s="298"/>
      <c r="AJ14" s="298"/>
      <c r="AK14" s="298"/>
      <c r="AL14" s="298"/>
    </row>
    <row r="15" spans="1:38" ht="15" customHeight="1">
      <c r="A15" s="40"/>
      <c r="B15" s="37"/>
      <c r="C15" s="93"/>
      <c r="D15" s="41" t="s">
        <v>44</v>
      </c>
      <c r="E15" s="41" t="s">
        <v>62</v>
      </c>
      <c r="F15" s="41" t="s">
        <v>72</v>
      </c>
      <c r="G15" s="293"/>
      <c r="H15" s="293"/>
      <c r="I15" s="934" t="s">
        <v>94</v>
      </c>
      <c r="J15" s="935"/>
      <c r="K15" s="981" t="s">
        <v>627</v>
      </c>
      <c r="L15" s="972"/>
      <c r="M15" s="53"/>
      <c r="N15" s="293"/>
      <c r="O15" s="298"/>
      <c r="P15" s="293"/>
      <c r="Q15" s="293"/>
      <c r="R15" s="37"/>
      <c r="V15" s="277"/>
      <c r="W15" s="305"/>
      <c r="X15" s="962"/>
      <c r="Y15" s="962"/>
      <c r="Z15" s="962"/>
      <c r="AA15" s="962"/>
      <c r="AB15" s="298"/>
      <c r="AC15" s="332"/>
      <c r="AD15" s="298"/>
      <c r="AE15" s="332"/>
      <c r="AF15" s="298"/>
      <c r="AG15" s="298"/>
      <c r="AH15" s="297"/>
      <c r="AI15" s="273"/>
      <c r="AJ15" s="298"/>
      <c r="AK15" s="298"/>
      <c r="AL15" s="298"/>
    </row>
    <row r="16" spans="1:38" ht="15" customHeight="1">
      <c r="A16" s="40"/>
      <c r="B16" s="37"/>
      <c r="C16" s="37"/>
      <c r="D16" s="46">
        <f>E16*0.4536</f>
        <v>0.4536</v>
      </c>
      <c r="E16" s="584">
        <v>1</v>
      </c>
      <c r="F16" s="46">
        <f>E16/0.4536</f>
        <v>2.204585537918871</v>
      </c>
      <c r="G16" s="296"/>
      <c r="H16" s="296"/>
      <c r="I16" s="584">
        <v>1</v>
      </c>
      <c r="J16" s="584">
        <v>4</v>
      </c>
      <c r="K16" s="41">
        <f>1000*(I16+J16/16)*0.4536</f>
        <v>567</v>
      </c>
      <c r="L16" s="46">
        <f>K16/1000</f>
        <v>0.567</v>
      </c>
      <c r="M16" s="53"/>
      <c r="N16" s="293"/>
      <c r="O16" s="298"/>
      <c r="P16" s="293"/>
      <c r="Q16" s="293"/>
      <c r="R16" s="37"/>
      <c r="V16" s="277"/>
      <c r="W16" s="298"/>
      <c r="X16" s="914" t="s">
        <v>720</v>
      </c>
      <c r="Y16" s="119" t="s">
        <v>53</v>
      </c>
      <c r="Z16" s="963" t="s">
        <v>66</v>
      </c>
      <c r="AA16" s="964"/>
      <c r="AB16" s="296"/>
      <c r="AC16" s="116" t="s">
        <v>84</v>
      </c>
      <c r="AD16" s="1085" t="s">
        <v>97</v>
      </c>
      <c r="AE16" s="1086"/>
      <c r="AF16" s="1087"/>
      <c r="AG16" s="116" t="s">
        <v>113</v>
      </c>
      <c r="AH16" s="297"/>
      <c r="AI16" s="298"/>
      <c r="AJ16" s="298"/>
      <c r="AK16" s="298"/>
      <c r="AL16" s="298"/>
    </row>
    <row r="17" spans="1:38" ht="15" customHeight="1">
      <c r="A17" s="40"/>
      <c r="B17" s="37"/>
      <c r="C17" s="297"/>
      <c r="D17" s="297"/>
      <c r="E17" s="297"/>
      <c r="F17" s="297"/>
      <c r="G17" s="297"/>
      <c r="H17" s="297"/>
      <c r="I17" s="297"/>
      <c r="J17" s="297"/>
      <c r="K17" s="297"/>
      <c r="L17" s="297"/>
      <c r="M17" s="297"/>
      <c r="N17" s="297"/>
      <c r="O17" s="297"/>
      <c r="P17" s="297"/>
      <c r="Q17" s="297"/>
      <c r="R17" s="37"/>
      <c r="V17" s="277"/>
      <c r="W17" s="305"/>
      <c r="X17" s="329"/>
      <c r="Y17" s="128" t="s">
        <v>59</v>
      </c>
      <c r="Z17" s="117" t="s">
        <v>67</v>
      </c>
      <c r="AA17" s="117" t="s">
        <v>77</v>
      </c>
      <c r="AB17" s="296"/>
      <c r="AC17" s="123" t="s">
        <v>85</v>
      </c>
      <c r="AD17" s="1092" t="s">
        <v>98</v>
      </c>
      <c r="AE17" s="1093"/>
      <c r="AF17" s="1094"/>
      <c r="AG17" s="123" t="s">
        <v>85</v>
      </c>
      <c r="AH17" s="333"/>
      <c r="AI17" s="298"/>
      <c r="AJ17" s="298"/>
      <c r="AK17" s="298"/>
      <c r="AL17" s="298"/>
    </row>
    <row r="18" spans="1:38" ht="15" customHeight="1">
      <c r="A18" s="40"/>
      <c r="B18" s="37"/>
      <c r="C18" s="298"/>
      <c r="D18" s="298"/>
      <c r="E18" s="298"/>
      <c r="F18" s="298"/>
      <c r="G18" s="298"/>
      <c r="H18" s="298"/>
      <c r="I18" s="298"/>
      <c r="J18" s="298"/>
      <c r="K18" s="298"/>
      <c r="L18" s="298"/>
      <c r="M18" s="298"/>
      <c r="N18" s="298"/>
      <c r="O18" s="298"/>
      <c r="P18" s="298"/>
      <c r="Q18" s="298"/>
      <c r="R18" s="37"/>
      <c r="V18" s="277"/>
      <c r="W18" s="277"/>
      <c r="X18" s="263" t="s">
        <v>36</v>
      </c>
      <c r="Y18" s="132">
        <v>77</v>
      </c>
      <c r="Z18" s="204"/>
      <c r="AA18" s="133">
        <v>33</v>
      </c>
      <c r="AB18" s="296"/>
      <c r="AC18" s="124" t="s">
        <v>86</v>
      </c>
      <c r="AD18" s="1095" t="s">
        <v>99</v>
      </c>
      <c r="AE18" s="1096"/>
      <c r="AF18" s="1097"/>
      <c r="AG18" s="124" t="s">
        <v>114</v>
      </c>
      <c r="AH18" s="277"/>
      <c r="AI18" s="277"/>
      <c r="AJ18" s="277"/>
      <c r="AK18" s="277"/>
      <c r="AL18" s="277"/>
    </row>
    <row r="19" spans="1:38" ht="15" customHeight="1">
      <c r="A19" s="40"/>
      <c r="B19" s="53"/>
      <c r="C19" s="47" t="s">
        <v>25</v>
      </c>
      <c r="D19" s="48" t="s">
        <v>73</v>
      </c>
      <c r="E19" s="48" t="s">
        <v>63</v>
      </c>
      <c r="F19" s="60" t="s">
        <v>45</v>
      </c>
      <c r="G19" s="298"/>
      <c r="H19" s="397"/>
      <c r="I19" s="60" t="s">
        <v>109</v>
      </c>
      <c r="J19" s="60" t="s">
        <v>63</v>
      </c>
      <c r="K19" s="60" t="s">
        <v>95</v>
      </c>
      <c r="L19" s="298"/>
      <c r="M19" s="298"/>
      <c r="N19" s="94"/>
      <c r="O19" s="39" t="s">
        <v>76</v>
      </c>
      <c r="P19" s="39" t="s">
        <v>133</v>
      </c>
      <c r="Q19" s="39" t="s">
        <v>127</v>
      </c>
      <c r="R19" s="37"/>
      <c r="V19" s="277"/>
      <c r="W19" s="277"/>
      <c r="X19" s="330" t="s">
        <v>28</v>
      </c>
      <c r="Y19" s="83">
        <v>180</v>
      </c>
      <c r="Z19" s="331">
        <v>5</v>
      </c>
      <c r="AA19" s="131">
        <v>4</v>
      </c>
      <c r="AB19" s="296"/>
      <c r="AC19" s="395" t="s">
        <v>87</v>
      </c>
      <c r="AD19" s="1040" t="s">
        <v>100</v>
      </c>
      <c r="AE19" s="1041"/>
      <c r="AF19" s="1042"/>
      <c r="AG19" s="395" t="s">
        <v>115</v>
      </c>
      <c r="AH19" s="277"/>
      <c r="AI19" s="277"/>
      <c r="AJ19" s="277"/>
      <c r="AK19" s="277"/>
      <c r="AL19" s="277"/>
    </row>
    <row r="20" spans="1:38" ht="15" customHeight="1">
      <c r="A20" s="40"/>
      <c r="B20" s="53"/>
      <c r="C20" s="293"/>
      <c r="D20" s="46">
        <f>E20*0.09977637</f>
        <v>0.09977637</v>
      </c>
      <c r="E20" s="587">
        <v>1</v>
      </c>
      <c r="F20" s="46">
        <f>E20*10.022413122466</f>
        <v>10.022413122466</v>
      </c>
      <c r="G20" s="298"/>
      <c r="H20" s="397"/>
      <c r="I20" s="46">
        <f>J20/0.02004</f>
        <v>49.90019960079841</v>
      </c>
      <c r="J20" s="587">
        <v>1</v>
      </c>
      <c r="K20" s="46">
        <f>J20*0.02004</f>
        <v>0.02004</v>
      </c>
      <c r="L20" s="298"/>
      <c r="M20" s="298"/>
      <c r="N20" s="94"/>
      <c r="O20" s="74">
        <f>P20*28.41306</f>
        <v>28.41306</v>
      </c>
      <c r="P20" s="584">
        <v>1</v>
      </c>
      <c r="Q20" s="74">
        <f>P20/28.41306</f>
        <v>0.03519508282458841</v>
      </c>
      <c r="R20" s="37"/>
      <c r="V20" s="277"/>
      <c r="W20" s="277"/>
      <c r="X20" s="336" t="s">
        <v>643</v>
      </c>
      <c r="Y20" s="364">
        <f>100*(Y18/Y19)</f>
        <v>42.77777777777778</v>
      </c>
      <c r="Z20" s="970"/>
      <c r="AA20" s="365">
        <f>100*AA18/(Z19*12+AA19)</f>
        <v>51.5625</v>
      </c>
      <c r="AB20" s="296"/>
      <c r="AC20" s="395" t="s">
        <v>88</v>
      </c>
      <c r="AD20" s="1040" t="s">
        <v>101</v>
      </c>
      <c r="AE20" s="1041"/>
      <c r="AF20" s="1042"/>
      <c r="AG20" s="395" t="s">
        <v>116</v>
      </c>
      <c r="AH20" s="277"/>
      <c r="AI20" s="277"/>
      <c r="AJ20" s="277"/>
      <c r="AK20" s="277"/>
      <c r="AL20" s="277"/>
    </row>
    <row r="21" spans="1:38" ht="15" customHeight="1">
      <c r="A21" s="40"/>
      <c r="B21" s="37"/>
      <c r="C21" s="293"/>
      <c r="D21" s="95"/>
      <c r="E21" s="95"/>
      <c r="F21" s="95"/>
      <c r="G21" s="298"/>
      <c r="H21" s="398"/>
      <c r="I21" s="95"/>
      <c r="J21" s="95"/>
      <c r="K21" s="95"/>
      <c r="L21" s="298"/>
      <c r="M21" s="298"/>
      <c r="N21" s="97"/>
      <c r="O21" s="53"/>
      <c r="P21" s="53"/>
      <c r="Q21" s="53"/>
      <c r="R21" s="273"/>
      <c r="V21" s="277"/>
      <c r="W21" s="305"/>
      <c r="X21" s="336" t="s">
        <v>644</v>
      </c>
      <c r="Y21" s="364">
        <f>100*(Y18/Y19)</f>
        <v>42.77777777777778</v>
      </c>
      <c r="Z21" s="971"/>
      <c r="AA21" s="365">
        <f>100*AA18/(Z19*12+AA19)</f>
        <v>51.5625</v>
      </c>
      <c r="AB21" s="296"/>
      <c r="AC21" s="366" t="s">
        <v>89</v>
      </c>
      <c r="AD21" s="1098" t="s">
        <v>57</v>
      </c>
      <c r="AE21" s="1099"/>
      <c r="AF21" s="1100"/>
      <c r="AG21" s="366" t="s">
        <v>117</v>
      </c>
      <c r="AH21" s="277"/>
      <c r="AI21" s="277"/>
      <c r="AJ21" s="277"/>
      <c r="AK21" s="277"/>
      <c r="AL21" s="277"/>
    </row>
    <row r="22" spans="1:38" ht="15" customHeight="1">
      <c r="A22" s="40"/>
      <c r="B22" s="37"/>
      <c r="C22" s="296"/>
      <c r="D22" s="48" t="s">
        <v>73</v>
      </c>
      <c r="E22" s="48" t="s">
        <v>63</v>
      </c>
      <c r="F22" s="60" t="s">
        <v>46</v>
      </c>
      <c r="G22" s="298"/>
      <c r="H22" s="297"/>
      <c r="I22" s="60" t="s">
        <v>109</v>
      </c>
      <c r="J22" s="60" t="s">
        <v>63</v>
      </c>
      <c r="K22" s="60" t="s">
        <v>96</v>
      </c>
      <c r="L22" s="298"/>
      <c r="M22" s="298"/>
      <c r="N22" s="293"/>
      <c r="O22" s="39" t="s">
        <v>76</v>
      </c>
      <c r="P22" s="39" t="s">
        <v>133</v>
      </c>
      <c r="Q22" s="39" t="s">
        <v>128</v>
      </c>
      <c r="R22" s="273"/>
      <c r="V22" s="277"/>
      <c r="W22" s="277"/>
      <c r="X22" s="277"/>
      <c r="Y22" s="277"/>
      <c r="Z22" s="277"/>
      <c r="AA22" s="277"/>
      <c r="AB22" s="296"/>
      <c r="AC22" s="126" t="s">
        <v>90</v>
      </c>
      <c r="AD22" s="1089" t="s">
        <v>102</v>
      </c>
      <c r="AE22" s="1090"/>
      <c r="AF22" s="1091"/>
      <c r="AG22" s="125" t="s">
        <v>118</v>
      </c>
      <c r="AH22" s="277"/>
      <c r="AI22" s="277"/>
      <c r="AJ22" s="277"/>
      <c r="AK22" s="277"/>
      <c r="AL22" s="277"/>
    </row>
    <row r="23" spans="1:38" ht="15" customHeight="1">
      <c r="A23" s="40"/>
      <c r="B23" s="37"/>
      <c r="C23" s="296"/>
      <c r="D23" s="46">
        <f>E23*0.1198264</f>
        <v>0.1198264</v>
      </c>
      <c r="E23" s="587">
        <v>1</v>
      </c>
      <c r="F23" s="46">
        <f>E23*8.3454063545262</f>
        <v>8.3454063545262</v>
      </c>
      <c r="G23" s="298"/>
      <c r="H23" s="297"/>
      <c r="I23" s="46">
        <f>J23/0.016691</f>
        <v>59.912527709544065</v>
      </c>
      <c r="J23" s="587">
        <v>1</v>
      </c>
      <c r="K23" s="46">
        <f>J23*0.016691</f>
        <v>0.016691</v>
      </c>
      <c r="L23" s="298"/>
      <c r="M23" s="298"/>
      <c r="N23" s="293"/>
      <c r="O23" s="74">
        <f>P23*29.57353</f>
        <v>29.57353</v>
      </c>
      <c r="P23" s="584">
        <v>1</v>
      </c>
      <c r="Q23" s="74">
        <f>P23/29.57353</f>
        <v>0.03381402220161069</v>
      </c>
      <c r="R23" s="298"/>
      <c r="V23" s="277"/>
      <c r="W23" s="277"/>
      <c r="X23" s="305"/>
      <c r="Y23" s="305"/>
      <c r="Z23" s="305"/>
      <c r="AA23" s="305"/>
      <c r="AB23" s="273"/>
      <c r="AC23" s="127" t="s">
        <v>91</v>
      </c>
      <c r="AD23" s="991" t="s">
        <v>103</v>
      </c>
      <c r="AE23" s="992"/>
      <c r="AF23" s="982"/>
      <c r="AG23" s="127" t="s">
        <v>119</v>
      </c>
      <c r="AH23" s="277"/>
      <c r="AI23" s="277"/>
      <c r="AJ23" s="277"/>
      <c r="AK23" s="277"/>
      <c r="AL23" s="277"/>
    </row>
    <row r="24" spans="1:38" ht="15" customHeight="1">
      <c r="A24" s="40"/>
      <c r="B24" s="296"/>
      <c r="C24" s="40"/>
      <c r="D24" s="40"/>
      <c r="E24" s="40"/>
      <c r="F24" s="40"/>
      <c r="G24" s="40"/>
      <c r="H24" s="40"/>
      <c r="I24" s="40"/>
      <c r="J24" s="40"/>
      <c r="K24" s="40"/>
      <c r="L24" s="305"/>
      <c r="M24" s="298"/>
      <c r="N24" s="40"/>
      <c r="O24" s="293"/>
      <c r="P24" s="293"/>
      <c r="Q24" s="40"/>
      <c r="R24" s="273"/>
      <c r="V24" s="277"/>
      <c r="W24" s="277"/>
      <c r="X24" s="298"/>
      <c r="Y24" s="298"/>
      <c r="Z24" s="298"/>
      <c r="AA24" s="298"/>
      <c r="AB24" s="298"/>
      <c r="AC24" s="298"/>
      <c r="AD24" s="298"/>
      <c r="AE24" s="298"/>
      <c r="AF24" s="298"/>
      <c r="AG24" s="298"/>
      <c r="AH24" s="277"/>
      <c r="AI24" s="277"/>
      <c r="AJ24" s="277"/>
      <c r="AK24" s="277"/>
      <c r="AL24" s="277"/>
    </row>
    <row r="25" spans="1:38" ht="15" customHeight="1">
      <c r="A25" s="40"/>
      <c r="B25" s="296"/>
      <c r="C25" s="298"/>
      <c r="D25" s="298"/>
      <c r="E25" s="298"/>
      <c r="F25" s="298"/>
      <c r="G25" s="298"/>
      <c r="H25" s="298"/>
      <c r="I25" s="298"/>
      <c r="J25" s="298"/>
      <c r="K25" s="298"/>
      <c r="L25" s="298"/>
      <c r="M25" s="298"/>
      <c r="N25" s="298"/>
      <c r="O25" s="298"/>
      <c r="P25" s="298"/>
      <c r="Q25" s="298"/>
      <c r="R25" s="273"/>
      <c r="V25" s="277"/>
      <c r="W25" s="298"/>
      <c r="X25" s="298"/>
      <c r="Y25" s="298"/>
      <c r="Z25" s="298"/>
      <c r="AA25" s="298"/>
      <c r="AB25" s="298"/>
      <c r="AC25" s="298"/>
      <c r="AD25" s="298"/>
      <c r="AE25" s="298"/>
      <c r="AF25" s="298"/>
      <c r="AG25" s="298"/>
      <c r="AH25" s="297"/>
      <c r="AI25" s="298"/>
      <c r="AJ25" s="298"/>
      <c r="AK25" s="298"/>
      <c r="AL25" s="298"/>
    </row>
    <row r="26" spans="1:38" ht="15" customHeight="1">
      <c r="A26" s="40"/>
      <c r="B26" s="37"/>
      <c r="C26" s="317" t="s">
        <v>26</v>
      </c>
      <c r="D26" s="396" t="s">
        <v>47</v>
      </c>
      <c r="E26" s="396" t="s">
        <v>64</v>
      </c>
      <c r="F26" s="396" t="s">
        <v>74</v>
      </c>
      <c r="G26" s="298"/>
      <c r="H26" s="298"/>
      <c r="I26" s="298"/>
      <c r="J26" s="298"/>
      <c r="K26" s="298"/>
      <c r="L26" s="298"/>
      <c r="M26" s="298"/>
      <c r="N26" s="298"/>
      <c r="O26" s="298"/>
      <c r="P26" s="298"/>
      <c r="Q26" s="298"/>
      <c r="R26" s="273"/>
      <c r="V26" s="277"/>
      <c r="W26" s="959" t="s">
        <v>729</v>
      </c>
      <c r="X26" s="959"/>
      <c r="Y26" s="959"/>
      <c r="Z26" s="959"/>
      <c r="AA26" s="342"/>
      <c r="AB26" s="342"/>
      <c r="AC26" s="298"/>
      <c r="AD26" s="298"/>
      <c r="AE26" s="298"/>
      <c r="AF26" s="501"/>
      <c r="AG26" s="501"/>
      <c r="AH26" s="1068" t="s">
        <v>721</v>
      </c>
      <c r="AI26" s="1068"/>
      <c r="AJ26" s="334"/>
      <c r="AK26" s="298"/>
      <c r="AL26" s="298"/>
    </row>
    <row r="27" spans="1:38" ht="15" customHeight="1">
      <c r="A27" s="40"/>
      <c r="B27" s="37"/>
      <c r="C27" s="298"/>
      <c r="D27" s="49">
        <f>((E27+40)*5/9)-40</f>
        <v>20</v>
      </c>
      <c r="E27" s="584">
        <v>68</v>
      </c>
      <c r="F27" s="41">
        <f>((E27+40)*9/5)-40</f>
        <v>154.4</v>
      </c>
      <c r="G27" s="298"/>
      <c r="H27" s="298"/>
      <c r="I27" s="298"/>
      <c r="J27" s="298"/>
      <c r="K27" s="298"/>
      <c r="L27" s="298"/>
      <c r="M27" s="298"/>
      <c r="N27" s="298"/>
      <c r="O27" s="298"/>
      <c r="P27" s="298"/>
      <c r="Q27" s="298"/>
      <c r="R27" s="273"/>
      <c r="V27" s="277"/>
      <c r="W27" s="342"/>
      <c r="X27" s="1071" t="s">
        <v>645</v>
      </c>
      <c r="Y27" s="1071"/>
      <c r="Z27" s="1071"/>
      <c r="AA27" s="1071"/>
      <c r="AB27" s="1071"/>
      <c r="AC27" s="606">
        <v>10</v>
      </c>
      <c r="AD27" s="1072" t="s">
        <v>139</v>
      </c>
      <c r="AE27" s="1072"/>
      <c r="AF27" s="1088" t="s">
        <v>571</v>
      </c>
      <c r="AG27" s="1088"/>
      <c r="AH27" s="1068" t="s">
        <v>816</v>
      </c>
      <c r="AI27" s="1068"/>
      <c r="AJ27" s="334"/>
      <c r="AK27" s="277"/>
      <c r="AL27" s="277"/>
    </row>
    <row r="28" spans="1:38" ht="15" customHeight="1">
      <c r="A28" s="40"/>
      <c r="B28" s="40"/>
      <c r="C28" s="298"/>
      <c r="D28" s="298"/>
      <c r="E28" s="298"/>
      <c r="F28" s="298"/>
      <c r="G28" s="298"/>
      <c r="H28" s="298"/>
      <c r="I28" s="298"/>
      <c r="J28" s="298"/>
      <c r="K28" s="298"/>
      <c r="L28" s="298"/>
      <c r="M28" s="298"/>
      <c r="N28" s="298"/>
      <c r="O28" s="298"/>
      <c r="P28" s="298"/>
      <c r="Q28" s="298"/>
      <c r="R28" s="273"/>
      <c r="V28" s="277"/>
      <c r="W28" s="322"/>
      <c r="X28" s="323"/>
      <c r="Y28" s="960" t="s">
        <v>79</v>
      </c>
      <c r="Z28" s="961"/>
      <c r="AA28" s="960" t="s">
        <v>108</v>
      </c>
      <c r="AB28" s="961"/>
      <c r="AC28" s="367" t="s">
        <v>111</v>
      </c>
      <c r="AD28" s="367" t="s">
        <v>123</v>
      </c>
      <c r="AE28" s="324"/>
      <c r="AF28" s="977" t="s">
        <v>572</v>
      </c>
      <c r="AG28" s="977"/>
      <c r="AH28" s="601">
        <v>12.7</v>
      </c>
      <c r="AI28" s="916">
        <f aca="true" t="shared" si="0" ref="AI28:AI35">AH28*AH$48/1000</f>
        <v>10.025379999999998</v>
      </c>
      <c r="AJ28" s="334"/>
      <c r="AK28" s="277"/>
      <c r="AL28" s="277"/>
    </row>
    <row r="29" spans="1:38" ht="15" customHeight="1">
      <c r="A29" s="40"/>
      <c r="B29" s="40"/>
      <c r="C29" s="40"/>
      <c r="D29" s="40"/>
      <c r="E29" s="40"/>
      <c r="F29" s="40"/>
      <c r="G29" s="40"/>
      <c r="H29" s="40"/>
      <c r="I29" s="305"/>
      <c r="J29" s="40"/>
      <c r="K29" s="40"/>
      <c r="L29" s="40"/>
      <c r="M29" s="40"/>
      <c r="N29" s="40"/>
      <c r="O29" s="293"/>
      <c r="P29" s="293"/>
      <c r="Q29" s="96"/>
      <c r="R29" s="273"/>
      <c r="V29" s="277"/>
      <c r="W29" s="325"/>
      <c r="X29" s="323"/>
      <c r="Y29" s="84" t="s">
        <v>80</v>
      </c>
      <c r="Z29" s="605">
        <v>500</v>
      </c>
      <c r="AA29" s="1069">
        <v>1</v>
      </c>
      <c r="AB29" s="1070"/>
      <c r="AC29" s="921">
        <v>5</v>
      </c>
      <c r="AD29" s="900">
        <f>(Z29*AC29*AA29)/(100*AC27)</f>
        <v>2.5</v>
      </c>
      <c r="AE29" s="324"/>
      <c r="AF29" s="977" t="s">
        <v>573</v>
      </c>
      <c r="AG29" s="977"/>
      <c r="AH29" s="601">
        <v>7.62</v>
      </c>
      <c r="AI29" s="916">
        <f t="shared" si="0"/>
        <v>6.0152280000000005</v>
      </c>
      <c r="AJ29" s="334"/>
      <c r="AK29" s="277"/>
      <c r="AL29" s="277"/>
    </row>
    <row r="30" spans="1:38" ht="15" customHeight="1">
      <c r="A30" s="40"/>
      <c r="B30" s="974" t="s">
        <v>690</v>
      </c>
      <c r="C30" s="975"/>
      <c r="D30" s="407" t="s">
        <v>111</v>
      </c>
      <c r="E30" s="408" t="s">
        <v>660</v>
      </c>
      <c r="F30" s="409" t="s">
        <v>129</v>
      </c>
      <c r="G30" s="298"/>
      <c r="H30" s="899" t="s">
        <v>661</v>
      </c>
      <c r="I30" s="410" t="s">
        <v>111</v>
      </c>
      <c r="J30" s="411" t="s">
        <v>662</v>
      </c>
      <c r="K30" s="412" t="s">
        <v>129</v>
      </c>
      <c r="L30" s="967" t="s">
        <v>663</v>
      </c>
      <c r="M30" s="967"/>
      <c r="N30" s="968"/>
      <c r="O30" s="442" t="s">
        <v>110</v>
      </c>
      <c r="P30" s="441" t="s">
        <v>664</v>
      </c>
      <c r="Q30" s="443" t="s">
        <v>135</v>
      </c>
      <c r="R30" s="273"/>
      <c r="S30" s="315">
        <f>L34*AH48/1000</f>
        <v>26.839599999999997</v>
      </c>
      <c r="T30" s="315">
        <f>S30+(100-L34)</f>
        <v>92.83959999999999</v>
      </c>
      <c r="U30" s="315">
        <f>(U33)/(L34)</f>
        <v>0.8502837151387984</v>
      </c>
      <c r="V30" s="277"/>
      <c r="W30" s="298"/>
      <c r="X30" s="323"/>
      <c r="Y30" s="52" t="s">
        <v>81</v>
      </c>
      <c r="Z30" s="605">
        <v>1</v>
      </c>
      <c r="AA30" s="1069">
        <v>1</v>
      </c>
      <c r="AB30" s="1070"/>
      <c r="AC30" s="584">
        <v>5</v>
      </c>
      <c r="AD30" s="49">
        <f>(Z30*568.3*AC30*AA30)/(100*AC27)</f>
        <v>2.8415</v>
      </c>
      <c r="AE30" s="324"/>
      <c r="AF30" s="977" t="s">
        <v>574</v>
      </c>
      <c r="AG30" s="977"/>
      <c r="AH30" s="601">
        <v>17.2</v>
      </c>
      <c r="AI30" s="916">
        <f t="shared" si="0"/>
        <v>13.577679999999999</v>
      </c>
      <c r="AJ30" s="334"/>
      <c r="AK30" s="277"/>
      <c r="AL30" s="277"/>
    </row>
    <row r="31" spans="1:38" ht="15" customHeight="1">
      <c r="A31" s="40"/>
      <c r="B31" s="413"/>
      <c r="C31" s="414"/>
      <c r="D31" s="415">
        <f>E31*4/7</f>
        <v>40</v>
      </c>
      <c r="E31" s="585">
        <v>70</v>
      </c>
      <c r="F31" s="416">
        <f>100*S31/T31</f>
        <v>34.48064995195248</v>
      </c>
      <c r="G31" s="298"/>
      <c r="H31" s="417"/>
      <c r="I31" s="415">
        <f>J31/2</f>
        <v>40</v>
      </c>
      <c r="J31" s="585">
        <v>80</v>
      </c>
      <c r="K31" s="418">
        <f>100*S32/T32</f>
        <v>34.48064995195248</v>
      </c>
      <c r="L31" s="419"/>
      <c r="M31" s="419"/>
      <c r="N31" s="419"/>
      <c r="O31" s="420">
        <f>P31*7/8</f>
        <v>61.25</v>
      </c>
      <c r="P31" s="589">
        <v>70</v>
      </c>
      <c r="Q31" s="440">
        <f>P31*8/7</f>
        <v>80</v>
      </c>
      <c r="R31" s="437"/>
      <c r="S31" s="315">
        <f>D31*AH48/1000</f>
        <v>31.576</v>
      </c>
      <c r="T31" s="315">
        <f>S31+(100-D31)</f>
        <v>91.576</v>
      </c>
      <c r="U31" s="315">
        <f>(F31)/(D31)</f>
        <v>0.862016248798812</v>
      </c>
      <c r="V31" s="277"/>
      <c r="W31" s="298"/>
      <c r="X31" s="323"/>
      <c r="Y31" s="52" t="s">
        <v>82</v>
      </c>
      <c r="Z31" s="605">
        <v>12</v>
      </c>
      <c r="AA31" s="1069">
        <v>1</v>
      </c>
      <c r="AB31" s="1070"/>
      <c r="AC31" s="584">
        <v>5</v>
      </c>
      <c r="AD31" s="49">
        <f>(Z31*AC31*AA31/0.0338)/(100*AC27)</f>
        <v>1.775147928994083</v>
      </c>
      <c r="AE31" s="324"/>
      <c r="AF31" s="983" t="s">
        <v>575</v>
      </c>
      <c r="AG31" s="983"/>
      <c r="AH31" s="602">
        <v>15.2</v>
      </c>
      <c r="AI31" s="916">
        <f t="shared" si="0"/>
        <v>11.99888</v>
      </c>
      <c r="AJ31" s="334"/>
      <c r="AK31" s="277"/>
      <c r="AL31" s="277"/>
    </row>
    <row r="32" spans="1:38" ht="15" customHeight="1">
      <c r="A32" s="40"/>
      <c r="B32" s="413"/>
      <c r="C32" s="419"/>
      <c r="D32" s="335"/>
      <c r="E32" s="335"/>
      <c r="F32" s="335"/>
      <c r="G32" s="335"/>
      <c r="H32" s="388"/>
      <c r="I32" s="388"/>
      <c r="J32" s="388"/>
      <c r="K32" s="419"/>
      <c r="L32" s="421"/>
      <c r="M32" s="421"/>
      <c r="N32" s="421"/>
      <c r="O32" s="421"/>
      <c r="P32" s="421"/>
      <c r="Q32" s="422"/>
      <c r="R32" s="438"/>
      <c r="S32" s="315">
        <f>I31*AH48/1000</f>
        <v>31.576</v>
      </c>
      <c r="T32" s="315">
        <f>S32+(100-I31)</f>
        <v>91.576</v>
      </c>
      <c r="U32" s="315">
        <f>(K31)/(I31)</f>
        <v>0.862016248798812</v>
      </c>
      <c r="V32" s="277"/>
      <c r="W32" s="298"/>
      <c r="X32" s="323"/>
      <c r="Y32" s="986" t="s">
        <v>646</v>
      </c>
      <c r="Z32" s="986"/>
      <c r="AA32" s="986"/>
      <c r="AB32" s="986"/>
      <c r="AC32" s="986"/>
      <c r="AD32" s="986"/>
      <c r="AE32" s="323"/>
      <c r="AF32" s="988" t="s">
        <v>576</v>
      </c>
      <c r="AG32" s="988"/>
      <c r="AH32" s="602">
        <v>15.2</v>
      </c>
      <c r="AI32" s="916">
        <f t="shared" si="0"/>
        <v>11.99888</v>
      </c>
      <c r="AJ32" s="334"/>
      <c r="AK32" s="277"/>
      <c r="AL32" s="277"/>
    </row>
    <row r="33" spans="1:38" ht="15" customHeight="1">
      <c r="A33" s="40"/>
      <c r="B33" s="419"/>
      <c r="C33" s="426" t="s">
        <v>665</v>
      </c>
      <c r="D33" s="427" t="s">
        <v>111</v>
      </c>
      <c r="E33" s="428" t="s">
        <v>129</v>
      </c>
      <c r="F33" s="429" t="s">
        <v>660</v>
      </c>
      <c r="G33" s="430" t="s">
        <v>662</v>
      </c>
      <c r="H33" s="431"/>
      <c r="I33" s="965" t="s">
        <v>666</v>
      </c>
      <c r="J33" s="965"/>
      <c r="K33" s="966"/>
      <c r="L33" s="432" t="s">
        <v>129</v>
      </c>
      <c r="M33" s="407" t="s">
        <v>111</v>
      </c>
      <c r="N33" s="429" t="s">
        <v>660</v>
      </c>
      <c r="O33" s="430" t="s">
        <v>662</v>
      </c>
      <c r="P33" s="551"/>
      <c r="Q33" s="973" t="s">
        <v>692</v>
      </c>
      <c r="R33" s="973"/>
      <c r="S33" s="423"/>
      <c r="T33" s="424"/>
      <c r="U33" s="425">
        <f>100*S30/T30</f>
        <v>28.909646314719147</v>
      </c>
      <c r="V33" s="277"/>
      <c r="W33" s="298"/>
      <c r="X33" s="323"/>
      <c r="Y33" s="987"/>
      <c r="Z33" s="987"/>
      <c r="AA33" s="987"/>
      <c r="AB33" s="987"/>
      <c r="AC33" s="987"/>
      <c r="AD33" s="987"/>
      <c r="AE33" s="323"/>
      <c r="AF33" s="983" t="s">
        <v>577</v>
      </c>
      <c r="AG33" s="983"/>
      <c r="AH33" s="602">
        <v>12.7</v>
      </c>
      <c r="AI33" s="916">
        <f t="shared" si="0"/>
        <v>10.025379999999998</v>
      </c>
      <c r="AJ33" s="334"/>
      <c r="AK33" s="297"/>
      <c r="AL33" s="277"/>
    </row>
    <row r="34" spans="1:38" ht="15" customHeight="1">
      <c r="A34" s="40"/>
      <c r="B34" s="419"/>
      <c r="C34" s="433"/>
      <c r="D34" s="588">
        <v>40</v>
      </c>
      <c r="E34" s="416">
        <f>100*S34/T34</f>
        <v>34.48064995195248</v>
      </c>
      <c r="F34" s="434">
        <f>D34*7/4</f>
        <v>70</v>
      </c>
      <c r="G34" s="416">
        <f>F34*8/7</f>
        <v>80</v>
      </c>
      <c r="H34" s="435" t="s">
        <v>590</v>
      </c>
      <c r="I34" s="944" t="s">
        <v>668</v>
      </c>
      <c r="J34" s="944"/>
      <c r="K34" s="932"/>
      <c r="L34" s="585">
        <v>34</v>
      </c>
      <c r="M34" s="418">
        <f>L34/(U30)</f>
        <v>39.98665315429441</v>
      </c>
      <c r="N34" s="434">
        <f>M34*7/4</f>
        <v>69.97664302001522</v>
      </c>
      <c r="O34" s="416">
        <f>N34*8/7</f>
        <v>79.97330630858882</v>
      </c>
      <c r="P34" s="436" t="s">
        <v>590</v>
      </c>
      <c r="Q34" s="943" t="s">
        <v>667</v>
      </c>
      <c r="R34" s="943"/>
      <c r="S34" s="315">
        <f>D34*AH$48/1000</f>
        <v>31.576</v>
      </c>
      <c r="T34" s="315">
        <f>S34+(100-D34)</f>
        <v>91.576</v>
      </c>
      <c r="U34" s="315">
        <f>(E34)/(D34)</f>
        <v>0.862016248798812</v>
      </c>
      <c r="V34" s="277"/>
      <c r="W34" s="298"/>
      <c r="X34" s="324"/>
      <c r="Y34" s="1102" t="s">
        <v>653</v>
      </c>
      <c r="Z34" s="1102"/>
      <c r="AA34" s="1102"/>
      <c r="AB34" s="1102"/>
      <c r="AC34" s="1102"/>
      <c r="AD34" s="1102"/>
      <c r="AE34" s="323"/>
      <c r="AF34" s="983" t="s">
        <v>578</v>
      </c>
      <c r="AG34" s="983"/>
      <c r="AH34" s="602">
        <v>21.5</v>
      </c>
      <c r="AI34" s="916">
        <f t="shared" si="0"/>
        <v>16.972099999999998</v>
      </c>
      <c r="AJ34" s="334"/>
      <c r="AK34" s="335"/>
      <c r="AL34" s="277"/>
    </row>
    <row r="35" spans="1:38" ht="15" customHeight="1">
      <c r="A35" s="40"/>
      <c r="B35" s="40"/>
      <c r="C35" s="297"/>
      <c r="D35" s="297"/>
      <c r="E35" s="297"/>
      <c r="F35" s="298"/>
      <c r="G35" s="298"/>
      <c r="H35" s="298"/>
      <c r="I35" s="298"/>
      <c r="J35" s="298"/>
      <c r="K35" s="298"/>
      <c r="L35" s="298"/>
      <c r="M35" s="298"/>
      <c r="N35" s="298"/>
      <c r="O35" s="298"/>
      <c r="P35" s="298"/>
      <c r="Q35" s="298"/>
      <c r="R35" s="37"/>
      <c r="V35" s="277"/>
      <c r="W35" s="325"/>
      <c r="X35" s="324"/>
      <c r="Y35" s="311"/>
      <c r="Z35" s="311"/>
      <c r="AA35" s="311"/>
      <c r="AB35" s="311"/>
      <c r="AC35" s="311"/>
      <c r="AD35" s="311"/>
      <c r="AE35" s="324"/>
      <c r="AF35" s="988" t="s">
        <v>579</v>
      </c>
      <c r="AG35" s="988"/>
      <c r="AH35" s="602">
        <v>10</v>
      </c>
      <c r="AI35" s="916">
        <f t="shared" si="0"/>
        <v>7.894</v>
      </c>
      <c r="AJ35" s="334"/>
      <c r="AK35" s="335"/>
      <c r="AL35" s="277"/>
    </row>
    <row r="36" spans="1:38" ht="15" customHeight="1">
      <c r="A36" s="40"/>
      <c r="B36" s="40"/>
      <c r="C36" s="40"/>
      <c r="D36" s="305"/>
      <c r="E36" s="305"/>
      <c r="F36" s="305"/>
      <c r="G36" s="305"/>
      <c r="H36" s="305"/>
      <c r="I36" s="305"/>
      <c r="J36" s="305"/>
      <c r="K36" s="439"/>
      <c r="L36" s="385"/>
      <c r="M36" s="385"/>
      <c r="N36" s="385"/>
      <c r="O36" s="386"/>
      <c r="P36" s="386"/>
      <c r="Q36" s="387"/>
      <c r="R36" s="388"/>
      <c r="V36" s="277"/>
      <c r="W36" s="325"/>
      <c r="X36" s="324"/>
      <c r="Y36" s="324"/>
      <c r="Z36" s="324"/>
      <c r="AA36" s="324"/>
      <c r="AB36" s="325"/>
      <c r="AC36" s="325"/>
      <c r="AD36" s="325"/>
      <c r="AE36" s="325"/>
      <c r="AF36" s="983" t="s">
        <v>580</v>
      </c>
      <c r="AG36" s="983"/>
      <c r="AH36" s="602">
        <v>12.7</v>
      </c>
      <c r="AI36" s="916">
        <f>AH36*AH$48/1000</f>
        <v>10.025379999999998</v>
      </c>
      <c r="AJ36" s="334"/>
      <c r="AK36" s="335"/>
      <c r="AL36" s="277"/>
    </row>
    <row r="37" spans="1:38" ht="15" customHeight="1">
      <c r="A37" s="40"/>
      <c r="B37" s="1057" t="s">
        <v>5</v>
      </c>
      <c r="C37" s="1058"/>
      <c r="D37" s="1064" t="s">
        <v>48</v>
      </c>
      <c r="E37" s="1065"/>
      <c r="F37" s="590">
        <v>1050</v>
      </c>
      <c r="G37" s="1060" t="s">
        <v>671</v>
      </c>
      <c r="H37" s="1061"/>
      <c r="I37" s="1061"/>
      <c r="J37" s="1061"/>
      <c r="K37" s="1061"/>
      <c r="L37" s="310"/>
      <c r="M37" s="805"/>
      <c r="N37" s="806"/>
      <c r="O37" s="807"/>
      <c r="P37" s="808"/>
      <c r="Q37" s="808"/>
      <c r="R37" s="807"/>
      <c r="V37" s="277"/>
      <c r="W37" s="298"/>
      <c r="X37" s="384" t="s">
        <v>635</v>
      </c>
      <c r="Y37" s="587">
        <v>1</v>
      </c>
      <c r="Z37" s="64" t="s">
        <v>136</v>
      </c>
      <c r="AA37" s="63" t="str">
        <f>"=  "&amp;FIXED(Y37*568.3,0)&amp;"ml"</f>
        <v>=  568ml</v>
      </c>
      <c r="AB37" s="325"/>
      <c r="AC37" s="325"/>
      <c r="AD37" s="325"/>
      <c r="AE37" s="325"/>
      <c r="AF37" s="983" t="s">
        <v>581</v>
      </c>
      <c r="AG37" s="983"/>
      <c r="AH37" s="602">
        <v>12.7</v>
      </c>
      <c r="AI37" s="916">
        <f aca="true" t="shared" si="1" ref="AI37:AI47">AH37*AH$48/1000</f>
        <v>10.025379999999998</v>
      </c>
      <c r="AJ37" s="334"/>
      <c r="AK37" s="335"/>
      <c r="AL37" s="277"/>
    </row>
    <row r="38" spans="1:38" ht="15" customHeight="1">
      <c r="A38" s="40"/>
      <c r="B38" s="818"/>
      <c r="C38" s="293"/>
      <c r="D38" s="1066" t="s">
        <v>49</v>
      </c>
      <c r="E38" s="1067"/>
      <c r="F38" s="591">
        <v>1008</v>
      </c>
      <c r="G38" s="1060"/>
      <c r="H38" s="1061"/>
      <c r="I38" s="1061"/>
      <c r="J38" s="1061"/>
      <c r="K38" s="1061"/>
      <c r="L38" s="809"/>
      <c r="M38" s="389"/>
      <c r="N38" s="389"/>
      <c r="O38" s="389"/>
      <c r="P38" s="389"/>
      <c r="Q38" s="389"/>
      <c r="R38" s="389"/>
      <c r="V38" s="277"/>
      <c r="W38" s="326"/>
      <c r="X38" s="324"/>
      <c r="Y38" s="584">
        <v>1</v>
      </c>
      <c r="Z38" s="61" t="s">
        <v>137</v>
      </c>
      <c r="AA38" s="63" t="str">
        <f>"=  "&amp;FIXED(Y38*473,0)&amp;"ml"</f>
        <v>=  473ml</v>
      </c>
      <c r="AB38" s="325"/>
      <c r="AC38" s="325"/>
      <c r="AD38" s="325"/>
      <c r="AE38" s="325"/>
      <c r="AF38" s="983" t="s">
        <v>582</v>
      </c>
      <c r="AG38" s="983"/>
      <c r="AH38" s="602">
        <v>25</v>
      </c>
      <c r="AI38" s="916">
        <f t="shared" si="1"/>
        <v>19.735</v>
      </c>
      <c r="AJ38" s="334"/>
      <c r="AK38" s="335"/>
      <c r="AL38" s="277"/>
    </row>
    <row r="39" spans="1:38" ht="15" customHeight="1">
      <c r="A39" s="40"/>
      <c r="B39" s="40"/>
      <c r="C39" s="293"/>
      <c r="D39" s="931" t="s">
        <v>652</v>
      </c>
      <c r="E39" s="1037"/>
      <c r="F39" s="446">
        <f>(F37-F38)/(7.7537-0.003742*(F37-1000))</f>
        <v>5.550709697882801</v>
      </c>
      <c r="G39" s="1062"/>
      <c r="H39" s="1061"/>
      <c r="I39" s="1061"/>
      <c r="J39" s="1061"/>
      <c r="K39" s="1061"/>
      <c r="L39" s="810"/>
      <c r="M39" s="300"/>
      <c r="N39" s="300"/>
      <c r="O39" s="297"/>
      <c r="P39" s="297"/>
      <c r="Q39" s="811"/>
      <c r="R39" s="394"/>
      <c r="V39" s="277"/>
      <c r="W39" s="324"/>
      <c r="X39" s="324"/>
      <c r="Y39" s="584">
        <v>12</v>
      </c>
      <c r="Z39" s="62" t="s">
        <v>82</v>
      </c>
      <c r="AA39" s="63" t="str">
        <f>"=  "&amp;FIXED(Y39*29.5735,0)&amp;"ml"</f>
        <v>=  355ml</v>
      </c>
      <c r="AB39" s="325"/>
      <c r="AC39" s="325"/>
      <c r="AD39" s="325"/>
      <c r="AE39" s="325"/>
      <c r="AF39" s="983" t="s">
        <v>583</v>
      </c>
      <c r="AG39" s="983"/>
      <c r="AH39" s="602">
        <v>12.5</v>
      </c>
      <c r="AI39" s="916">
        <f t="shared" si="1"/>
        <v>9.8675</v>
      </c>
      <c r="AJ39" s="334"/>
      <c r="AK39" s="335"/>
      <c r="AL39" s="277"/>
    </row>
    <row r="40" spans="1:38" ht="15" customHeight="1">
      <c r="A40" s="40"/>
      <c r="B40" s="40"/>
      <c r="C40" s="293"/>
      <c r="D40" s="294"/>
      <c r="E40" s="294"/>
      <c r="F40" s="301"/>
      <c r="G40" s="302"/>
      <c r="H40" s="302"/>
      <c r="I40" s="302"/>
      <c r="J40" s="302"/>
      <c r="K40" s="302"/>
      <c r="L40" s="310"/>
      <c r="M40" s="310"/>
      <c r="N40" s="310"/>
      <c r="O40" s="310"/>
      <c r="P40" s="310"/>
      <c r="Q40" s="310"/>
      <c r="R40" s="340"/>
      <c r="V40" s="277"/>
      <c r="W40" s="324"/>
      <c r="X40" s="324"/>
      <c r="Y40" s="552"/>
      <c r="Z40" s="552"/>
      <c r="AA40" s="552"/>
      <c r="AB40" s="552"/>
      <c r="AC40" s="553"/>
      <c r="AD40" s="325"/>
      <c r="AE40" s="325"/>
      <c r="AF40" s="988" t="s">
        <v>584</v>
      </c>
      <c r="AG40" s="988"/>
      <c r="AH40" s="602">
        <v>12.7</v>
      </c>
      <c r="AI40" s="916">
        <f t="shared" si="1"/>
        <v>10.025379999999998</v>
      </c>
      <c r="AJ40" s="334"/>
      <c r="AK40" s="335"/>
      <c r="AL40" s="277"/>
    </row>
    <row r="41" spans="1:38" ht="15" customHeight="1">
      <c r="A41" s="40"/>
      <c r="B41" s="40"/>
      <c r="C41" s="819" t="s">
        <v>27</v>
      </c>
      <c r="D41" s="1064" t="s">
        <v>48</v>
      </c>
      <c r="E41" s="1065"/>
      <c r="F41" s="590">
        <v>50</v>
      </c>
      <c r="G41" s="1063" t="s">
        <v>621</v>
      </c>
      <c r="H41" s="1063"/>
      <c r="I41" s="1063"/>
      <c r="J41" s="1063"/>
      <c r="K41" s="1063"/>
      <c r="L41" s="1063"/>
      <c r="M41" s="297"/>
      <c r="N41" s="310"/>
      <c r="O41" s="812"/>
      <c r="P41" s="310"/>
      <c r="Q41" s="310"/>
      <c r="R41" s="302"/>
      <c r="V41" s="277"/>
      <c r="W41" s="327"/>
      <c r="X41" s="327"/>
      <c r="Y41" s="553"/>
      <c r="Z41" s="553"/>
      <c r="AA41" s="553"/>
      <c r="AB41" s="553"/>
      <c r="AC41" s="553"/>
      <c r="AD41" s="325"/>
      <c r="AE41" s="325"/>
      <c r="AF41" s="983" t="s">
        <v>585</v>
      </c>
      <c r="AG41" s="983"/>
      <c r="AH41" s="602">
        <v>12.7</v>
      </c>
      <c r="AI41" s="916">
        <f t="shared" si="1"/>
        <v>10.025379999999998</v>
      </c>
      <c r="AJ41" s="334"/>
      <c r="AK41" s="335"/>
      <c r="AL41" s="277"/>
    </row>
    <row r="42" spans="1:38" ht="15" customHeight="1">
      <c r="A42" s="40"/>
      <c r="B42" s="40"/>
      <c r="C42" s="293"/>
      <c r="D42" s="1066" t="s">
        <v>49</v>
      </c>
      <c r="E42" s="1067"/>
      <c r="F42" s="591">
        <v>8</v>
      </c>
      <c r="G42" s="1059" t="s">
        <v>669</v>
      </c>
      <c r="H42" s="1059"/>
      <c r="I42" s="1059"/>
      <c r="J42" s="1059"/>
      <c r="K42" s="1059"/>
      <c r="L42" s="1059"/>
      <c r="M42" s="302"/>
      <c r="N42" s="302"/>
      <c r="O42" s="297"/>
      <c r="P42" s="297"/>
      <c r="Q42" s="297"/>
      <c r="R42" s="302"/>
      <c r="V42" s="277"/>
      <c r="W42" s="327"/>
      <c r="X42" s="548"/>
      <c r="Y42" s="554"/>
      <c r="Z42" s="555"/>
      <c r="AA42" s="555"/>
      <c r="AB42" s="553"/>
      <c r="AC42" s="553"/>
      <c r="AD42" s="325"/>
      <c r="AE42" s="325"/>
      <c r="AF42" s="983" t="s">
        <v>586</v>
      </c>
      <c r="AG42" s="983"/>
      <c r="AH42" s="602">
        <v>17.7</v>
      </c>
      <c r="AI42" s="916">
        <f t="shared" si="1"/>
        <v>13.97238</v>
      </c>
      <c r="AJ42" s="334"/>
      <c r="AK42" s="335"/>
      <c r="AL42" s="277"/>
    </row>
    <row r="43" spans="1:38" ht="15" customHeight="1">
      <c r="A43" s="40"/>
      <c r="B43" s="40"/>
      <c r="C43" s="293"/>
      <c r="D43" s="931" t="s">
        <v>652</v>
      </c>
      <c r="E43" s="1037"/>
      <c r="F43" s="446">
        <f>(F41-F42)/(7.7537-0.003742*F41)</f>
        <v>5.550709697882801</v>
      </c>
      <c r="G43" s="933" t="s">
        <v>632</v>
      </c>
      <c r="H43" s="933"/>
      <c r="I43" s="933"/>
      <c r="J43" s="933"/>
      <c r="K43" s="933"/>
      <c r="L43" s="933"/>
      <c r="M43" s="333"/>
      <c r="N43" s="310"/>
      <c r="O43" s="310"/>
      <c r="P43" s="310"/>
      <c r="Q43" s="310"/>
      <c r="R43" s="302"/>
      <c r="V43" s="277"/>
      <c r="W43" s="547"/>
      <c r="X43" s="549"/>
      <c r="Y43" s="554"/>
      <c r="Z43" s="555"/>
      <c r="AA43" s="555"/>
      <c r="AB43" s="555"/>
      <c r="AC43" s="555"/>
      <c r="AD43" s="325"/>
      <c r="AE43" s="325"/>
      <c r="AF43" s="983" t="s">
        <v>587</v>
      </c>
      <c r="AG43" s="983"/>
      <c r="AH43" s="602">
        <v>12.7</v>
      </c>
      <c r="AI43" s="916">
        <f t="shared" si="1"/>
        <v>10.025379999999998</v>
      </c>
      <c r="AJ43" s="334"/>
      <c r="AK43" s="335"/>
      <c r="AL43" s="277"/>
    </row>
    <row r="44" spans="1:38" ht="15" customHeight="1">
      <c r="A44" s="40"/>
      <c r="B44" s="40"/>
      <c r="C44" s="820"/>
      <c r="D44" s="293"/>
      <c r="E44" s="293"/>
      <c r="F44" s="293"/>
      <c r="G44" s="302"/>
      <c r="H44" s="297"/>
      <c r="I44" s="297"/>
      <c r="J44" s="297"/>
      <c r="K44" s="297"/>
      <c r="L44" s="297"/>
      <c r="M44" s="297"/>
      <c r="N44" s="813"/>
      <c r="O44" s="813"/>
      <c r="P44" s="813"/>
      <c r="Q44" s="310"/>
      <c r="R44" s="302"/>
      <c r="V44" s="277"/>
      <c r="W44" s="547"/>
      <c r="X44" s="549"/>
      <c r="Y44" s="554"/>
      <c r="Z44" s="555"/>
      <c r="AA44" s="555"/>
      <c r="AB44" s="555"/>
      <c r="AC44" s="555"/>
      <c r="AD44" s="327"/>
      <c r="AE44" s="327"/>
      <c r="AF44" s="983" t="s">
        <v>110</v>
      </c>
      <c r="AG44" s="983"/>
      <c r="AH44" s="602">
        <v>10</v>
      </c>
      <c r="AI44" s="916">
        <f t="shared" si="1"/>
        <v>7.894</v>
      </c>
      <c r="AJ44" s="334"/>
      <c r="AK44" s="335"/>
      <c r="AL44" s="277"/>
    </row>
    <row r="45" spans="1:38" ht="15" customHeight="1">
      <c r="A45" s="40"/>
      <c r="B45" s="40"/>
      <c r="C45" s="40"/>
      <c r="D45" s="40"/>
      <c r="E45" s="40"/>
      <c r="F45" s="40"/>
      <c r="G45" s="305"/>
      <c r="H45" s="297"/>
      <c r="I45" s="297"/>
      <c r="J45" s="304"/>
      <c r="K45" s="297"/>
      <c r="L45" s="297"/>
      <c r="M45" s="297"/>
      <c r="N45" s="814"/>
      <c r="O45" s="814"/>
      <c r="P45" s="815"/>
      <c r="Q45" s="297"/>
      <c r="R45" s="302"/>
      <c r="V45" s="277"/>
      <c r="W45" s="327"/>
      <c r="X45" s="297"/>
      <c r="Y45" s="556"/>
      <c r="Z45" s="569"/>
      <c r="AA45" s="557"/>
      <c r="AB45" s="557"/>
      <c r="AC45" s="557"/>
      <c r="AD45" s="328"/>
      <c r="AE45" s="307"/>
      <c r="AF45" s="988" t="s">
        <v>588</v>
      </c>
      <c r="AG45" s="988"/>
      <c r="AH45" s="603">
        <v>17.7</v>
      </c>
      <c r="AI45" s="916">
        <f t="shared" si="1"/>
        <v>13.97238</v>
      </c>
      <c r="AJ45" s="334"/>
      <c r="AK45" s="335"/>
      <c r="AL45" s="277"/>
    </row>
    <row r="46" spans="1:38" ht="15" customHeight="1">
      <c r="A46" s="558"/>
      <c r="B46" s="1004" t="s">
        <v>689</v>
      </c>
      <c r="C46" s="1005"/>
      <c r="D46" s="383" t="s">
        <v>634</v>
      </c>
      <c r="E46" s="997" t="s">
        <v>700</v>
      </c>
      <c r="F46" s="998"/>
      <c r="G46" s="816" t="s">
        <v>696</v>
      </c>
      <c r="H46" s="817" t="s">
        <v>624</v>
      </c>
      <c r="I46" s="391" t="s">
        <v>634</v>
      </c>
      <c r="J46" s="997" t="s">
        <v>700</v>
      </c>
      <c r="K46" s="998"/>
      <c r="L46" s="816" t="s">
        <v>696</v>
      </c>
      <c r="M46" s="941" t="s">
        <v>730</v>
      </c>
      <c r="N46" s="942"/>
      <c r="O46" s="942"/>
      <c r="P46" s="942"/>
      <c r="Q46" s="942"/>
      <c r="R46" s="843"/>
      <c r="V46" s="277"/>
      <c r="W46" s="298"/>
      <c r="X46" s="298"/>
      <c r="Y46" s="298"/>
      <c r="Z46" s="298"/>
      <c r="AA46" s="298"/>
      <c r="AB46" s="298"/>
      <c r="AC46" s="298"/>
      <c r="AD46" s="327"/>
      <c r="AE46" s="327"/>
      <c r="AF46" s="977" t="s">
        <v>622</v>
      </c>
      <c r="AG46" s="977"/>
      <c r="AH46" s="601"/>
      <c r="AI46" s="916">
        <f t="shared" si="1"/>
        <v>0</v>
      </c>
      <c r="AJ46" s="334"/>
      <c r="AK46" s="335"/>
      <c r="AL46" s="277"/>
    </row>
    <row r="47" spans="1:38" ht="15" customHeight="1">
      <c r="A47" s="40"/>
      <c r="B47" s="995" t="s">
        <v>708</v>
      </c>
      <c r="C47" s="996"/>
      <c r="D47" s="582">
        <v>1080</v>
      </c>
      <c r="E47" s="984">
        <f>(-616.868)+(1111.14*(D47/1000))-(630.272*(D47/1000)^2)+(135.997*(D47/1000)^3)</f>
        <v>19.330992064000014</v>
      </c>
      <c r="F47" s="985"/>
      <c r="G47" s="563">
        <f>145.14-(145140/D47)</f>
        <v>10.7511111111111</v>
      </c>
      <c r="H47" s="327"/>
      <c r="I47" s="583">
        <v>80</v>
      </c>
      <c r="J47" s="999">
        <f>(-616.868)+(1111.14*((I47+1000)/1000))-(630.272*((I47+1000)/1000)^2)+(135.997*((I47+1000)/1000)^3)</f>
        <v>19.330992064000014</v>
      </c>
      <c r="K47" s="1000"/>
      <c r="L47" s="578">
        <f>145.14-((145140/(I47+1000)))</f>
        <v>10.7511111111111</v>
      </c>
      <c r="M47" s="941"/>
      <c r="N47" s="942"/>
      <c r="O47" s="942"/>
      <c r="P47" s="942"/>
      <c r="Q47" s="942"/>
      <c r="R47" s="577"/>
      <c r="S47" s="682" t="s">
        <v>143</v>
      </c>
      <c r="T47" s="683">
        <f>89.6/342</f>
        <v>0.2619883040935672</v>
      </c>
      <c r="V47" s="566"/>
      <c r="W47" s="549"/>
      <c r="X47" s="298"/>
      <c r="Y47" s="298"/>
      <c r="Z47" s="298"/>
      <c r="AA47" s="298"/>
      <c r="AB47" s="298"/>
      <c r="AC47" s="298"/>
      <c r="AD47" s="550"/>
      <c r="AE47" s="550"/>
      <c r="AF47" s="977" t="s">
        <v>623</v>
      </c>
      <c r="AG47" s="977"/>
      <c r="AH47" s="601"/>
      <c r="AI47" s="916">
        <f t="shared" si="1"/>
        <v>0</v>
      </c>
      <c r="AJ47" s="326"/>
      <c r="AK47" s="277"/>
      <c r="AL47" s="277"/>
    </row>
    <row r="48" spans="1:38" ht="15" customHeight="1">
      <c r="A48" s="40"/>
      <c r="B48" s="573"/>
      <c r="C48" s="305"/>
      <c r="D48" s="392">
        <f>1000*(1+(E48/(258.6-((E48/258.2)*227.1))))</f>
        <v>1020.0697094798217</v>
      </c>
      <c r="E48" s="1038">
        <v>5.1</v>
      </c>
      <c r="F48" s="1039"/>
      <c r="G48" s="575">
        <f>145.14-(145140/D48)</f>
        <v>2.8556064422172938</v>
      </c>
      <c r="H48" s="327"/>
      <c r="I48" s="393">
        <f>1000*((J48/(258.6-((J48/258.2)*227.1))))</f>
        <v>20.069709479821693</v>
      </c>
      <c r="J48" s="1001">
        <v>5.1</v>
      </c>
      <c r="K48" s="989"/>
      <c r="L48" s="559">
        <f>145.14-((145140/(I48+1000)))</f>
        <v>2.8556064422172938</v>
      </c>
      <c r="M48" s="941"/>
      <c r="N48" s="942"/>
      <c r="O48" s="942"/>
      <c r="P48" s="942"/>
      <c r="Q48" s="942"/>
      <c r="R48" s="579"/>
      <c r="S48" s="684" t="s">
        <v>144</v>
      </c>
      <c r="T48" s="685" t="s">
        <v>145</v>
      </c>
      <c r="V48" s="566"/>
      <c r="W48" s="567"/>
      <c r="X48" s="297"/>
      <c r="Y48" s="298"/>
      <c r="Z48" s="298"/>
      <c r="AA48" s="298"/>
      <c r="AB48" s="298"/>
      <c r="AC48" s="298"/>
      <c r="AD48" s="1045" t="s">
        <v>589</v>
      </c>
      <c r="AE48" s="1045"/>
      <c r="AF48" s="1045"/>
      <c r="AG48" s="1045"/>
      <c r="AH48" s="601">
        <v>789.4</v>
      </c>
      <c r="AI48" s="604" t="s">
        <v>636</v>
      </c>
      <c r="AJ48" s="326"/>
      <c r="AK48" s="277"/>
      <c r="AL48" s="277"/>
    </row>
    <row r="49" spans="1:38" ht="15" customHeight="1">
      <c r="A49" s="40"/>
      <c r="B49" s="573"/>
      <c r="C49" s="305"/>
      <c r="D49" s="546">
        <f>1000*145.14/(145.14-G49)</f>
        <v>1063.764291996482</v>
      </c>
      <c r="E49" s="984">
        <f>(-616.868)+(1111.14*(D49/1000))-(630.272*(D49/1000)^2)+(135.997*(D49/1000)^3)</f>
        <v>15.617106353030067</v>
      </c>
      <c r="F49" s="985"/>
      <c r="G49" s="560">
        <v>8.7</v>
      </c>
      <c r="H49" s="327"/>
      <c r="I49" s="546">
        <f>1000*(145.14/(145.14-L49)-1)</f>
        <v>63.764291996481816</v>
      </c>
      <c r="J49" s="999">
        <f>(-616.868)+(1111.14*((I49+1000)/1000))-(630.272*((I49+1000)/1000)^2)+(135.997*((I49+1000)/1000)^3)</f>
        <v>15.617106353030067</v>
      </c>
      <c r="K49" s="1000"/>
      <c r="L49" s="561">
        <v>8.7</v>
      </c>
      <c r="M49" s="325"/>
      <c r="N49" s="325"/>
      <c r="O49" s="325"/>
      <c r="P49" s="325"/>
      <c r="Q49" s="325"/>
      <c r="R49" s="579"/>
      <c r="S49" s="686" t="s">
        <v>47</v>
      </c>
      <c r="T49" s="687" t="s">
        <v>146</v>
      </c>
      <c r="V49" s="566"/>
      <c r="W49" s="568"/>
      <c r="X49" s="550"/>
      <c r="Y49" s="550"/>
      <c r="Z49" s="298"/>
      <c r="AA49" s="562"/>
      <c r="AB49" s="562"/>
      <c r="AC49" s="550"/>
      <c r="AD49" s="550"/>
      <c r="AE49" s="550"/>
      <c r="AF49" s="550"/>
      <c r="AG49" s="550"/>
      <c r="AH49" s="326"/>
      <c r="AI49" s="326"/>
      <c r="AJ49" s="326"/>
      <c r="AK49" s="277"/>
      <c r="AL49" s="277"/>
    </row>
    <row r="50" spans="1:38" ht="15" customHeight="1">
      <c r="A50" s="40"/>
      <c r="B50" s="574"/>
      <c r="C50" s="305"/>
      <c r="D50" s="930" t="s">
        <v>697</v>
      </c>
      <c r="E50" s="930"/>
      <c r="F50" s="930"/>
      <c r="G50" s="930"/>
      <c r="H50" s="930"/>
      <c r="I50" s="930"/>
      <c r="J50" s="930"/>
      <c r="K50" s="930"/>
      <c r="L50" s="930"/>
      <c r="M50" s="580"/>
      <c r="N50" s="580"/>
      <c r="O50" s="325"/>
      <c r="P50" s="325"/>
      <c r="Q50" s="325"/>
      <c r="R50" s="579"/>
      <c r="S50" s="112">
        <v>0</v>
      </c>
      <c r="T50" s="113">
        <v>1.713</v>
      </c>
      <c r="V50" s="277"/>
      <c r="W50" s="287"/>
      <c r="X50" s="277"/>
      <c r="Y50" s="277"/>
      <c r="Z50" s="277"/>
      <c r="AA50" s="277"/>
      <c r="AB50" s="277"/>
      <c r="AC50" s="277"/>
      <c r="AD50" s="277"/>
      <c r="AE50" s="277"/>
      <c r="AF50" s="277"/>
      <c r="AG50" s="277"/>
      <c r="AH50" s="277"/>
      <c r="AI50" s="277"/>
      <c r="AJ50" s="277"/>
      <c r="AK50" s="277"/>
      <c r="AL50" s="277"/>
    </row>
    <row r="51" spans="1:38" ht="15" customHeight="1">
      <c r="A51" s="40"/>
      <c r="B51" s="40"/>
      <c r="C51" s="305"/>
      <c r="D51" s="930"/>
      <c r="E51" s="930"/>
      <c r="F51" s="930"/>
      <c r="G51" s="930"/>
      <c r="H51" s="930"/>
      <c r="I51" s="930"/>
      <c r="J51" s="930"/>
      <c r="K51" s="930"/>
      <c r="L51" s="930"/>
      <c r="M51" s="580"/>
      <c r="N51" s="580"/>
      <c r="O51" s="325"/>
      <c r="P51" s="325"/>
      <c r="Q51" s="325"/>
      <c r="R51" s="579"/>
      <c r="S51" s="112">
        <v>1</v>
      </c>
      <c r="T51" s="114">
        <v>1.646</v>
      </c>
      <c r="V51" s="277"/>
      <c r="W51" s="1051" t="s">
        <v>649</v>
      </c>
      <c r="X51" s="1051"/>
      <c r="Y51" s="1103" t="s">
        <v>60</v>
      </c>
      <c r="Z51" s="1103"/>
      <c r="AA51" s="1103"/>
      <c r="AB51" s="1103"/>
      <c r="AC51" s="1103"/>
      <c r="AD51" s="1103"/>
      <c r="AE51" s="1103"/>
      <c r="AF51" s="1103"/>
      <c r="AG51" s="310"/>
      <c r="AH51" s="310"/>
      <c r="AI51" s="310"/>
      <c r="AJ51" s="298"/>
      <c r="AK51" s="277"/>
      <c r="AL51" s="277"/>
    </row>
    <row r="52" spans="1:38" ht="15" customHeight="1">
      <c r="A52" s="40"/>
      <c r="B52" s="40"/>
      <c r="C52" s="305"/>
      <c r="D52" s="930"/>
      <c r="E52" s="930"/>
      <c r="F52" s="930"/>
      <c r="G52" s="930"/>
      <c r="H52" s="930"/>
      <c r="I52" s="930"/>
      <c r="J52" s="930"/>
      <c r="K52" s="930"/>
      <c r="L52" s="930"/>
      <c r="M52" s="580"/>
      <c r="N52" s="580"/>
      <c r="O52" s="325"/>
      <c r="P52" s="325"/>
      <c r="Q52" s="325"/>
      <c r="R52" s="579"/>
      <c r="S52" s="112">
        <v>2</v>
      </c>
      <c r="T52" s="113">
        <v>1.584</v>
      </c>
      <c r="V52" s="277"/>
      <c r="W52" s="293"/>
      <c r="X52" s="56" t="s">
        <v>37</v>
      </c>
      <c r="Y52" s="595">
        <v>1070</v>
      </c>
      <c r="Z52" s="1043"/>
      <c r="AA52" s="1044"/>
      <c r="AB52" s="203"/>
      <c r="AC52" s="1008" t="s">
        <v>92</v>
      </c>
      <c r="AD52" s="1009"/>
      <c r="AE52" s="1009"/>
      <c r="AF52" s="518">
        <f>Y52+AB53-Y53+AB54-Y54</f>
        <v>1086</v>
      </c>
      <c r="AG52" s="1006" t="s">
        <v>629</v>
      </c>
      <c r="AH52" s="1007"/>
      <c r="AI52" s="1007"/>
      <c r="AJ52" s="1007"/>
      <c r="AK52" s="565"/>
      <c r="AL52" s="565"/>
    </row>
    <row r="53" spans="1:38" ht="15" customHeight="1">
      <c r="A53" s="40"/>
      <c r="B53" s="40"/>
      <c r="C53" s="305"/>
      <c r="D53" s="930"/>
      <c r="E53" s="930"/>
      <c r="F53" s="930"/>
      <c r="G53" s="930"/>
      <c r="H53" s="930"/>
      <c r="I53" s="930"/>
      <c r="J53" s="930"/>
      <c r="K53" s="930"/>
      <c r="L53" s="930"/>
      <c r="M53" s="580"/>
      <c r="N53" s="580"/>
      <c r="O53" s="325"/>
      <c r="P53" s="325"/>
      <c r="Q53" s="325"/>
      <c r="R53" s="579"/>
      <c r="S53" s="312">
        <v>3</v>
      </c>
      <c r="T53" s="313">
        <v>1.55</v>
      </c>
      <c r="V53" s="277"/>
      <c r="W53" s="293"/>
      <c r="X53" s="57" t="s">
        <v>38</v>
      </c>
      <c r="Y53" s="596">
        <v>1004</v>
      </c>
      <c r="Z53" s="1010" t="s">
        <v>69</v>
      </c>
      <c r="AA53" s="993"/>
      <c r="AB53" s="596">
        <v>1020</v>
      </c>
      <c r="AC53" s="1010" t="s">
        <v>93</v>
      </c>
      <c r="AD53" s="994"/>
      <c r="AE53" s="994"/>
      <c r="AF53" s="519">
        <f>AF52-((Y52-Y53)+(AB53-Y54)+(AB54-Y55))</f>
        <v>994</v>
      </c>
      <c r="AG53" s="1006"/>
      <c r="AH53" s="1007"/>
      <c r="AI53" s="1007"/>
      <c r="AJ53" s="1007"/>
      <c r="AK53" s="565"/>
      <c r="AL53" s="565"/>
    </row>
    <row r="54" spans="1:38" ht="15" customHeight="1">
      <c r="A54" s="40"/>
      <c r="B54" s="40"/>
      <c r="C54" s="305"/>
      <c r="D54" s="581"/>
      <c r="E54" s="581"/>
      <c r="F54" s="581"/>
      <c r="G54" s="325"/>
      <c r="H54" s="581"/>
      <c r="I54" s="581"/>
      <c r="J54" s="581"/>
      <c r="K54" s="581"/>
      <c r="L54" s="325"/>
      <c r="M54" s="325"/>
      <c r="N54" s="548"/>
      <c r="O54" s="570"/>
      <c r="P54" s="570"/>
      <c r="Q54" s="570"/>
      <c r="R54" s="579"/>
      <c r="S54" s="312">
        <v>4</v>
      </c>
      <c r="T54" s="313">
        <v>1.473</v>
      </c>
      <c r="V54" s="277"/>
      <c r="W54" s="293"/>
      <c r="X54" s="57" t="s">
        <v>39</v>
      </c>
      <c r="Y54" s="596"/>
      <c r="Z54" s="1046" t="s">
        <v>69</v>
      </c>
      <c r="AA54" s="1047"/>
      <c r="AB54" s="597"/>
      <c r="AC54" s="1104" t="s">
        <v>630</v>
      </c>
      <c r="AD54" s="1105"/>
      <c r="AE54" s="1105"/>
      <c r="AF54" s="446">
        <f>(AF52-AF53)/(7.75-(3*(AF52-1000)/800))</f>
        <v>12.386401884887244</v>
      </c>
      <c r="AG54" s="1006"/>
      <c r="AH54" s="1007"/>
      <c r="AI54" s="1007"/>
      <c r="AJ54" s="1007"/>
      <c r="AK54" s="564"/>
      <c r="AL54" s="564"/>
    </row>
    <row r="55" spans="1:38" ht="15" customHeight="1">
      <c r="A55" s="40"/>
      <c r="B55" s="298"/>
      <c r="C55" s="298"/>
      <c r="D55" s="298"/>
      <c r="E55" s="298"/>
      <c r="F55" s="298"/>
      <c r="G55" s="298"/>
      <c r="H55" s="298"/>
      <c r="I55" s="298"/>
      <c r="J55" s="298"/>
      <c r="K55" s="298"/>
      <c r="L55" s="298"/>
      <c r="M55" s="298"/>
      <c r="N55" s="298"/>
      <c r="O55" s="298"/>
      <c r="P55" s="298"/>
      <c r="Q55" s="298"/>
      <c r="R55" s="273"/>
      <c r="S55" s="312">
        <v>5</v>
      </c>
      <c r="T55" s="313">
        <v>1.424</v>
      </c>
      <c r="V55" s="277"/>
      <c r="W55" s="293"/>
      <c r="X55" s="58" t="s">
        <v>40</v>
      </c>
      <c r="Y55" s="597">
        <v>994</v>
      </c>
      <c r="Z55" s="1081" t="s">
        <v>631</v>
      </c>
      <c r="AA55" s="1082"/>
      <c r="AB55" s="1082"/>
      <c r="AC55" s="1082"/>
      <c r="AD55" s="1082"/>
      <c r="AE55" s="1082"/>
      <c r="AF55" s="1083"/>
      <c r="AG55" s="1075" t="s">
        <v>628</v>
      </c>
      <c r="AH55" s="1076"/>
      <c r="AI55" s="1076"/>
      <c r="AJ55" s="1076"/>
      <c r="AK55" s="564"/>
      <c r="AL55" s="564"/>
    </row>
    <row r="56" spans="1:38" ht="15" customHeight="1">
      <c r="A56" s="40"/>
      <c r="B56" s="1052" t="s">
        <v>727</v>
      </c>
      <c r="C56" s="1052"/>
      <c r="D56" s="1052"/>
      <c r="E56" s="1052"/>
      <c r="F56" s="1052"/>
      <c r="G56" s="1052"/>
      <c r="H56" s="1052"/>
      <c r="I56" s="1052"/>
      <c r="J56" s="1052"/>
      <c r="K56" s="298"/>
      <c r="L56" s="339"/>
      <c r="M56" s="339"/>
      <c r="N56" s="339"/>
      <c r="O56" s="339"/>
      <c r="P56" s="339"/>
      <c r="Q56" s="339"/>
      <c r="R56" s="437"/>
      <c r="S56" s="707">
        <v>6</v>
      </c>
      <c r="T56" s="313">
        <v>1.377</v>
      </c>
      <c r="V56" s="277"/>
      <c r="W56" s="297"/>
      <c r="X56" s="321"/>
      <c r="Y56" s="298"/>
      <c r="Z56" s="298"/>
      <c r="AA56" s="297"/>
      <c r="AB56" s="302"/>
      <c r="AC56" s="320"/>
      <c r="AD56" s="320"/>
      <c r="AE56" s="82"/>
      <c r="AF56" s="82"/>
      <c r="AG56" s="82"/>
      <c r="AH56" s="82"/>
      <c r="AI56" s="82"/>
      <c r="AJ56" s="118"/>
      <c r="AK56" s="118"/>
      <c r="AL56" s="118"/>
    </row>
    <row r="57" spans="1:38" ht="15" customHeight="1">
      <c r="A57" s="40"/>
      <c r="B57" s="338"/>
      <c r="C57" s="704"/>
      <c r="D57" s="776" t="s">
        <v>145</v>
      </c>
      <c r="E57" s="1053" t="s">
        <v>705</v>
      </c>
      <c r="F57" s="1053"/>
      <c r="G57" s="927" t="s">
        <v>704</v>
      </c>
      <c r="H57" s="928"/>
      <c r="I57" s="927" t="s">
        <v>707</v>
      </c>
      <c r="J57" s="928"/>
      <c r="K57" s="298"/>
      <c r="L57" s="1056" t="s">
        <v>50</v>
      </c>
      <c r="M57" s="1056"/>
      <c r="N57" s="594">
        <v>3.15</v>
      </c>
      <c r="O57" s="298" t="s">
        <v>43</v>
      </c>
      <c r="P57" s="298"/>
      <c r="Q57" s="298"/>
      <c r="R57" s="273"/>
      <c r="S57" s="312">
        <v>7</v>
      </c>
      <c r="T57" s="313">
        <v>1.331</v>
      </c>
      <c r="V57" s="277"/>
      <c r="W57" s="305"/>
      <c r="X57" s="277"/>
      <c r="Y57" s="277"/>
      <c r="Z57" s="277"/>
      <c r="AA57" s="277"/>
      <c r="AB57" s="277"/>
      <c r="AC57" s="277"/>
      <c r="AD57" s="277"/>
      <c r="AE57" s="277"/>
      <c r="AF57" s="277"/>
      <c r="AG57" s="277"/>
      <c r="AH57" s="277"/>
      <c r="AI57" s="277"/>
      <c r="AJ57" s="277"/>
      <c r="AK57" s="277"/>
      <c r="AL57" s="277"/>
    </row>
    <row r="58" spans="1:38" ht="15" customHeight="1">
      <c r="A58" s="40"/>
      <c r="B58" s="338"/>
      <c r="C58" s="704"/>
      <c r="D58" s="777" t="s">
        <v>722</v>
      </c>
      <c r="E58" s="774" t="s">
        <v>47</v>
      </c>
      <c r="F58" s="697" t="s">
        <v>74</v>
      </c>
      <c r="G58" s="1116">
        <f>G59/1000*(D59-VLOOKUP(E59,S49:T78,2))/T47</f>
        <v>3.137544642857143</v>
      </c>
      <c r="H58" s="1117"/>
      <c r="I58" s="1054" t="s">
        <v>706</v>
      </c>
      <c r="J58" s="1055"/>
      <c r="K58" s="298"/>
      <c r="L58" s="1048" t="s">
        <v>51</v>
      </c>
      <c r="M58" s="1049"/>
      <c r="N58" s="1050"/>
      <c r="O58" s="1114" t="s">
        <v>731</v>
      </c>
      <c r="P58" s="1115"/>
      <c r="Q58" s="1115"/>
      <c r="R58" s="1115"/>
      <c r="S58" s="705">
        <v>8</v>
      </c>
      <c r="T58" s="113">
        <v>1.282</v>
      </c>
      <c r="V58" s="277"/>
      <c r="W58" s="305"/>
      <c r="X58" s="277"/>
      <c r="Y58" s="277"/>
      <c r="Z58" s="277"/>
      <c r="AA58" s="277"/>
      <c r="AB58" s="277"/>
      <c r="AC58" s="277"/>
      <c r="AD58" s="277"/>
      <c r="AE58" s="277"/>
      <c r="AF58" s="277"/>
      <c r="AG58" s="277"/>
      <c r="AH58" s="277"/>
      <c r="AI58" s="277"/>
      <c r="AJ58" s="277"/>
      <c r="AK58" s="277"/>
      <c r="AL58" s="277"/>
    </row>
    <row r="59" spans="1:38" ht="15" customHeight="1">
      <c r="A59" s="40"/>
      <c r="B59" s="338"/>
      <c r="C59" s="704"/>
      <c r="D59" s="775">
        <v>1.7</v>
      </c>
      <c r="E59" s="778">
        <v>20</v>
      </c>
      <c r="F59" s="779">
        <f>((E59+40)*(9/5))-40</f>
        <v>68</v>
      </c>
      <c r="G59" s="696">
        <v>1000</v>
      </c>
      <c r="H59" s="698" t="s">
        <v>76</v>
      </c>
      <c r="I59" s="699" t="str">
        <f>FIXED(SUM(-16.6999,PRODUCT(-0.0101059,F59),PRODUCT(0.00116512,POWER(F59,2)),PRODUCT(0.173354,F59,D59),PRODUCT(4.24267,D59),PRODUCT(-0.0684226,POWER(D59,2))),1)</f>
        <v>15.1</v>
      </c>
      <c r="J59" s="700" t="s">
        <v>701</v>
      </c>
      <c r="K59" s="298"/>
      <c r="L59" s="38" t="s">
        <v>52</v>
      </c>
      <c r="M59" s="38" t="s">
        <v>65</v>
      </c>
      <c r="N59" s="39" t="s">
        <v>75</v>
      </c>
      <c r="O59" s="1114"/>
      <c r="P59" s="1115"/>
      <c r="Q59" s="1115"/>
      <c r="R59" s="1115"/>
      <c r="S59" s="705">
        <v>9</v>
      </c>
      <c r="T59" s="113">
        <v>1.237</v>
      </c>
      <c r="V59" s="277"/>
      <c r="W59" s="305"/>
      <c r="X59" s="277"/>
      <c r="Y59" s="277"/>
      <c r="Z59" s="277"/>
      <c r="AA59" s="277"/>
      <c r="AB59" s="277"/>
      <c r="AC59" s="277"/>
      <c r="AD59" s="277"/>
      <c r="AE59" s="277"/>
      <c r="AF59" s="277"/>
      <c r="AG59" s="277"/>
      <c r="AH59" s="277"/>
      <c r="AI59" s="277"/>
      <c r="AJ59" s="277"/>
      <c r="AK59" s="277"/>
      <c r="AL59" s="302"/>
    </row>
    <row r="60" spans="1:38" ht="15" customHeight="1">
      <c r="A60" s="40"/>
      <c r="B60" s="338"/>
      <c r="C60" s="338"/>
      <c r="D60" s="780" t="s">
        <v>725</v>
      </c>
      <c r="E60" s="1106" t="s">
        <v>723</v>
      </c>
      <c r="F60" s="1107"/>
      <c r="G60" s="929" t="str">
        <f>FIXED(G58)&amp;"g"</f>
        <v>3.14g</v>
      </c>
      <c r="H60" s="929"/>
      <c r="I60" s="701">
        <f>I59*0.068046</f>
        <v>1.0274945999999998</v>
      </c>
      <c r="J60" s="702" t="s">
        <v>702</v>
      </c>
      <c r="K60" s="298"/>
      <c r="L60" s="38">
        <f>M60*N57</f>
        <v>9.6075</v>
      </c>
      <c r="M60" s="584">
        <v>3.05</v>
      </c>
      <c r="N60" s="50">
        <f>M60/N57</f>
        <v>0.9682539682539683</v>
      </c>
      <c r="O60" s="1114"/>
      <c r="P60" s="1115"/>
      <c r="Q60" s="1115"/>
      <c r="R60" s="1115"/>
      <c r="S60" s="705">
        <v>10</v>
      </c>
      <c r="T60" s="113">
        <v>1.194</v>
      </c>
      <c r="V60" s="277"/>
      <c r="W60" s="298"/>
      <c r="X60" s="277"/>
      <c r="Y60" s="277"/>
      <c r="Z60" s="277"/>
      <c r="AA60" s="277"/>
      <c r="AB60" s="277"/>
      <c r="AC60" s="298"/>
      <c r="AD60" s="298"/>
      <c r="AE60" s="298"/>
      <c r="AF60" s="298"/>
      <c r="AG60" s="298"/>
      <c r="AH60" s="298"/>
      <c r="AI60" s="298"/>
      <c r="AJ60" s="277"/>
      <c r="AK60" s="277"/>
      <c r="AL60" s="277"/>
    </row>
    <row r="61" spans="1:38" ht="15" customHeight="1">
      <c r="A61" s="40"/>
      <c r="B61" s="338"/>
      <c r="C61" s="338"/>
      <c r="D61" s="781" t="s">
        <v>726</v>
      </c>
      <c r="E61" s="1125" t="s">
        <v>724</v>
      </c>
      <c r="F61" s="1126"/>
      <c r="G61" s="1128" t="str">
        <f>"= "&amp;FIXED(G58/N57,2)&amp;" level 5ml tsp"</f>
        <v>= 1.00 level 5ml tsp</v>
      </c>
      <c r="H61" s="1128"/>
      <c r="I61" s="703">
        <f>I59*0.068948</f>
        <v>1.0411148</v>
      </c>
      <c r="J61" s="700" t="s">
        <v>703</v>
      </c>
      <c r="K61" s="298"/>
      <c r="L61" s="390"/>
      <c r="M61" s="390"/>
      <c r="N61" s="390"/>
      <c r="O61" s="298"/>
      <c r="P61" s="298"/>
      <c r="Q61" s="298"/>
      <c r="R61" s="273"/>
      <c r="S61" s="112">
        <v>11</v>
      </c>
      <c r="T61" s="113">
        <v>1.154</v>
      </c>
      <c r="V61" s="277"/>
      <c r="W61" s="298"/>
      <c r="X61" s="277"/>
      <c r="Y61" s="277"/>
      <c r="Z61" s="277"/>
      <c r="AA61" s="277"/>
      <c r="AB61" s="277"/>
      <c r="AC61" s="298"/>
      <c r="AD61" s="298"/>
      <c r="AE61" s="298"/>
      <c r="AF61" s="298"/>
      <c r="AG61" s="298"/>
      <c r="AH61" s="298"/>
      <c r="AI61" s="298"/>
      <c r="AJ61" s="277"/>
      <c r="AK61" s="277"/>
      <c r="AL61" s="277"/>
    </row>
    <row r="62" spans="1:38" ht="15" customHeight="1">
      <c r="A62" s="40"/>
      <c r="B62" s="298"/>
      <c r="C62" s="298"/>
      <c r="D62" s="298"/>
      <c r="E62" s="297"/>
      <c r="F62" s="297"/>
      <c r="G62" s="297"/>
      <c r="H62" s="297"/>
      <c r="I62" s="297"/>
      <c r="J62" s="297"/>
      <c r="K62" s="297"/>
      <c r="L62" s="815"/>
      <c r="M62" s="815"/>
      <c r="N62" s="815"/>
      <c r="O62" s="297"/>
      <c r="P62" s="297"/>
      <c r="Q62" s="297"/>
      <c r="R62" s="302"/>
      <c r="S62" s="112">
        <v>12</v>
      </c>
      <c r="T62" s="113">
        <v>1.117</v>
      </c>
      <c r="U62" s="821"/>
      <c r="V62" s="310"/>
      <c r="W62" s="277"/>
      <c r="X62" s="277"/>
      <c r="Y62" s="277"/>
      <c r="Z62" s="277"/>
      <c r="AA62" s="277"/>
      <c r="AB62" s="277"/>
      <c r="AC62" s="277"/>
      <c r="AD62" s="277"/>
      <c r="AE62" s="277"/>
      <c r="AF62" s="277"/>
      <c r="AG62" s="277"/>
      <c r="AH62" s="277"/>
      <c r="AI62" s="277"/>
      <c r="AJ62" s="277"/>
      <c r="AK62" s="277"/>
      <c r="AL62" s="277"/>
    </row>
    <row r="63" spans="1:38" ht="15" customHeight="1">
      <c r="A63" s="40"/>
      <c r="B63" s="298"/>
      <c r="C63" s="576" t="s">
        <v>650</v>
      </c>
      <c r="D63" s="576"/>
      <c r="E63" s="576"/>
      <c r="F63" s="576"/>
      <c r="G63" s="576"/>
      <c r="H63" s="576"/>
      <c r="I63" s="576"/>
      <c r="J63" s="576"/>
      <c r="K63" s="576"/>
      <c r="L63" s="297"/>
      <c r="M63" s="297"/>
      <c r="N63" s="297"/>
      <c r="O63" s="297"/>
      <c r="P63" s="297"/>
      <c r="Q63" s="297"/>
      <c r="R63" s="302"/>
      <c r="S63" s="112">
        <v>13</v>
      </c>
      <c r="T63" s="113">
        <v>1.083</v>
      </c>
      <c r="U63" s="821"/>
      <c r="V63" s="310"/>
      <c r="W63" s="277"/>
      <c r="X63" s="277"/>
      <c r="Y63" s="277"/>
      <c r="Z63" s="277"/>
      <c r="AA63" s="277"/>
      <c r="AB63" s="277"/>
      <c r="AC63" s="277"/>
      <c r="AD63" s="277"/>
      <c r="AE63" s="277"/>
      <c r="AF63" s="277"/>
      <c r="AG63" s="277"/>
      <c r="AH63" s="277"/>
      <c r="AI63" s="277"/>
      <c r="AJ63" s="277"/>
      <c r="AK63" s="277"/>
      <c r="AL63" s="277"/>
    </row>
    <row r="64" spans="1:38" ht="15" customHeight="1">
      <c r="A64" s="40"/>
      <c r="B64" s="298"/>
      <c r="C64" s="841" t="s">
        <v>728</v>
      </c>
      <c r="D64" s="842">
        <v>20</v>
      </c>
      <c r="E64" s="1127" t="str">
        <f>"°C ("&amp;FIXED((((D64+40)*(9/5))-40),1)&amp;"°F)"</f>
        <v>°C (68.0°F)</v>
      </c>
      <c r="F64" s="1127"/>
      <c r="G64" s="1127"/>
      <c r="H64" s="1127"/>
      <c r="I64" s="1127"/>
      <c r="J64" s="306"/>
      <c r="K64" s="297"/>
      <c r="L64" s="297"/>
      <c r="M64" s="297"/>
      <c r="N64" s="297"/>
      <c r="O64" s="297"/>
      <c r="P64" s="297"/>
      <c r="Q64" s="297"/>
      <c r="R64" s="302"/>
      <c r="S64" s="112">
        <v>14</v>
      </c>
      <c r="T64" s="113">
        <v>1.05</v>
      </c>
      <c r="U64" s="822"/>
      <c r="V64" s="823"/>
      <c r="W64" s="277"/>
      <c r="X64" s="277"/>
      <c r="Y64" s="277"/>
      <c r="Z64" s="277"/>
      <c r="AA64" s="277"/>
      <c r="AB64" s="277"/>
      <c r="AC64" s="277"/>
      <c r="AD64" s="277"/>
      <c r="AE64" s="277"/>
      <c r="AF64" s="277"/>
      <c r="AG64" s="277"/>
      <c r="AH64" s="277"/>
      <c r="AI64" s="277"/>
      <c r="AJ64" s="277"/>
      <c r="AK64" s="277"/>
      <c r="AL64" s="277"/>
    </row>
    <row r="65" spans="1:38" ht="15" customHeight="1">
      <c r="A65" s="40"/>
      <c r="B65" s="298"/>
      <c r="C65" s="695" t="s">
        <v>104</v>
      </c>
      <c r="D65" s="592">
        <v>7</v>
      </c>
      <c r="E65" s="1072" t="str">
        <f>"g/litre giving a carbonation value of "&amp;FIXED(D65*T47+VLOOKUP(D64,S50:T77,2))&amp;" Vol's CO2."</f>
        <v>g/litre giving a carbonation value of 2.71 Vol's CO2.</v>
      </c>
      <c r="F65" s="1072"/>
      <c r="G65" s="1072"/>
      <c r="H65" s="1072"/>
      <c r="I65" s="1072"/>
      <c r="J65" s="297"/>
      <c r="K65" s="297"/>
      <c r="L65" s="297"/>
      <c r="M65" s="297"/>
      <c r="N65" s="297"/>
      <c r="O65" s="297"/>
      <c r="P65" s="297"/>
      <c r="Q65" s="297"/>
      <c r="R65" s="302"/>
      <c r="S65" s="112">
        <v>15</v>
      </c>
      <c r="T65" s="113">
        <v>1.019</v>
      </c>
      <c r="U65" s="821"/>
      <c r="V65" s="310"/>
      <c r="W65" s="277"/>
      <c r="X65" s="277"/>
      <c r="Y65" s="277"/>
      <c r="Z65" s="277"/>
      <c r="AA65" s="277"/>
      <c r="AB65" s="277"/>
      <c r="AC65" s="277"/>
      <c r="AD65" s="277"/>
      <c r="AE65" s="277"/>
      <c r="AF65" s="277"/>
      <c r="AG65" s="277"/>
      <c r="AH65" s="277"/>
      <c r="AI65" s="277"/>
      <c r="AJ65" s="277"/>
      <c r="AK65" s="277"/>
      <c r="AL65" s="277"/>
    </row>
    <row r="66" spans="1:38" ht="15" customHeight="1">
      <c r="A66" s="40"/>
      <c r="B66" s="298"/>
      <c r="C66" s="695" t="s">
        <v>105</v>
      </c>
      <c r="D66" s="80">
        <f>D65/N57</f>
        <v>2.2222222222222223</v>
      </c>
      <c r="E66" s="1072" t="s">
        <v>124</v>
      </c>
      <c r="F66" s="1072"/>
      <c r="G66" s="1072"/>
      <c r="H66" s="1072"/>
      <c r="I66" s="1072"/>
      <c r="J66" s="297"/>
      <c r="K66" s="297"/>
      <c r="L66" s="297"/>
      <c r="M66" s="297"/>
      <c r="N66" s="297"/>
      <c r="O66" s="297"/>
      <c r="P66" s="297"/>
      <c r="Q66" s="297"/>
      <c r="R66" s="302"/>
      <c r="S66" s="705">
        <v>16</v>
      </c>
      <c r="T66" s="113">
        <v>0.985</v>
      </c>
      <c r="U66" s="822"/>
      <c r="V66" s="823"/>
      <c r="W66" s="277"/>
      <c r="X66" s="277"/>
      <c r="Y66" s="277"/>
      <c r="Z66" s="277"/>
      <c r="AA66" s="277"/>
      <c r="AB66" s="277"/>
      <c r="AC66" s="277"/>
      <c r="AD66" s="277"/>
      <c r="AE66" s="277"/>
      <c r="AF66" s="277"/>
      <c r="AG66" s="277"/>
      <c r="AH66" s="277"/>
      <c r="AI66" s="277"/>
      <c r="AJ66" s="277"/>
      <c r="AK66" s="277"/>
      <c r="AL66" s="277"/>
    </row>
    <row r="67" spans="1:38" ht="15" customHeight="1">
      <c r="A67" s="40"/>
      <c r="B67" s="298"/>
      <c r="C67" s="695" t="s">
        <v>106</v>
      </c>
      <c r="D67" s="593">
        <v>750</v>
      </c>
      <c r="E67" s="1072" t="s">
        <v>125</v>
      </c>
      <c r="F67" s="1072"/>
      <c r="G67" s="1072"/>
      <c r="H67" s="1072"/>
      <c r="I67" s="1072"/>
      <c r="J67" s="297"/>
      <c r="K67" s="297"/>
      <c r="L67" s="297"/>
      <c r="M67" s="297"/>
      <c r="N67" s="297"/>
      <c r="O67" s="297"/>
      <c r="P67" s="297"/>
      <c r="Q67" s="297"/>
      <c r="R67" s="302"/>
      <c r="S67" s="705">
        <v>17</v>
      </c>
      <c r="T67" s="113">
        <v>0.956</v>
      </c>
      <c r="U67" s="821"/>
      <c r="V67" s="310"/>
      <c r="W67" s="277"/>
      <c r="X67" s="277"/>
      <c r="Y67" s="277"/>
      <c r="Z67" s="277"/>
      <c r="AA67" s="277"/>
      <c r="AB67" s="277"/>
      <c r="AC67" s="277"/>
      <c r="AD67" s="277"/>
      <c r="AE67" s="277"/>
      <c r="AF67" s="277"/>
      <c r="AG67" s="277"/>
      <c r="AH67" s="277"/>
      <c r="AI67" s="277"/>
      <c r="AJ67" s="277"/>
      <c r="AK67" s="277"/>
      <c r="AL67" s="277"/>
    </row>
    <row r="68" spans="1:38" ht="15" customHeight="1">
      <c r="A68" s="40"/>
      <c r="B68" s="297"/>
      <c r="C68" s="695" t="s">
        <v>107</v>
      </c>
      <c r="D68" s="1124" t="str">
        <f>FIXED(D65*D67/1000)&amp;"g or "&amp;FIXED(D65*D67/(1000*N57),2)&amp;" level 5ml tsp."</f>
        <v>5.25g or 1.67 level 5ml tsp.</v>
      </c>
      <c r="E68" s="1124"/>
      <c r="F68" s="1124"/>
      <c r="G68" s="1124"/>
      <c r="H68" s="1124"/>
      <c r="I68" s="1124"/>
      <c r="J68" s="297"/>
      <c r="K68" s="297"/>
      <c r="L68" s="297"/>
      <c r="M68" s="297"/>
      <c r="N68" s="297"/>
      <c r="O68" s="297"/>
      <c r="P68" s="297"/>
      <c r="Q68" s="297"/>
      <c r="R68" s="302"/>
      <c r="S68" s="705">
        <v>18</v>
      </c>
      <c r="T68" s="113">
        <v>0.928</v>
      </c>
      <c r="U68" s="821"/>
      <c r="V68" s="310"/>
      <c r="W68" s="277"/>
      <c r="X68" s="277"/>
      <c r="Y68" s="277"/>
      <c r="Z68" s="277"/>
      <c r="AA68" s="277"/>
      <c r="AB68" s="277"/>
      <c r="AC68" s="277"/>
      <c r="AD68" s="277"/>
      <c r="AE68" s="277"/>
      <c r="AF68" s="277"/>
      <c r="AG68" s="277"/>
      <c r="AH68" s="277"/>
      <c r="AI68" s="277"/>
      <c r="AJ68" s="277"/>
      <c r="AK68" s="277"/>
      <c r="AL68" s="277"/>
    </row>
    <row r="69" spans="1:38" ht="15" customHeight="1">
      <c r="A69" s="40"/>
      <c r="B69" s="297"/>
      <c r="C69" s="297"/>
      <c r="D69" s="297"/>
      <c r="E69" s="297"/>
      <c r="F69" s="297"/>
      <c r="G69" s="297"/>
      <c r="H69" s="297"/>
      <c r="I69" s="297"/>
      <c r="J69" s="297"/>
      <c r="K69" s="297"/>
      <c r="L69" s="297"/>
      <c r="M69" s="297"/>
      <c r="N69" s="297"/>
      <c r="O69" s="297"/>
      <c r="P69" s="297"/>
      <c r="Q69" s="297"/>
      <c r="R69" s="302"/>
      <c r="S69" s="708">
        <v>19</v>
      </c>
      <c r="T69" s="113">
        <v>0.902</v>
      </c>
      <c r="U69" s="821"/>
      <c r="V69" s="310"/>
      <c r="W69" s="277"/>
      <c r="X69" s="277"/>
      <c r="Y69" s="277"/>
      <c r="Z69" s="277"/>
      <c r="AA69" s="277"/>
      <c r="AB69" s="277"/>
      <c r="AC69" s="277"/>
      <c r="AD69" s="277"/>
      <c r="AE69" s="277"/>
      <c r="AF69" s="277"/>
      <c r="AG69" s="277"/>
      <c r="AH69" s="277"/>
      <c r="AI69" s="277"/>
      <c r="AJ69" s="277"/>
      <c r="AK69" s="277"/>
      <c r="AL69" s="277"/>
    </row>
    <row r="70" spans="1:38" ht="15" customHeight="1">
      <c r="A70" s="40"/>
      <c r="B70" s="297"/>
      <c r="C70" s="297"/>
      <c r="D70" s="297"/>
      <c r="E70" s="297"/>
      <c r="F70" s="297"/>
      <c r="G70" s="297"/>
      <c r="H70" s="297"/>
      <c r="I70" s="818"/>
      <c r="J70" s="297"/>
      <c r="K70" s="297"/>
      <c r="L70" s="297"/>
      <c r="M70" s="297"/>
      <c r="N70" s="297"/>
      <c r="O70" s="297"/>
      <c r="P70" s="297"/>
      <c r="Q70" s="297"/>
      <c r="R70" s="302"/>
      <c r="S70" s="708">
        <v>20</v>
      </c>
      <c r="T70" s="113">
        <v>0.878</v>
      </c>
      <c r="U70" s="821"/>
      <c r="V70" s="310"/>
      <c r="W70" s="277"/>
      <c r="X70" s="277"/>
      <c r="Y70" s="277"/>
      <c r="Z70" s="277"/>
      <c r="AA70" s="277"/>
      <c r="AB70" s="277"/>
      <c r="AC70" s="277"/>
      <c r="AD70" s="277"/>
      <c r="AE70" s="277"/>
      <c r="AF70" s="277"/>
      <c r="AG70" s="277"/>
      <c r="AH70" s="277"/>
      <c r="AI70" s="277"/>
      <c r="AJ70" s="277"/>
      <c r="AK70" s="277"/>
      <c r="AL70" s="277"/>
    </row>
    <row r="71" spans="1:38" ht="15" customHeight="1">
      <c r="A71" s="40"/>
      <c r="B71" s="1108" t="s">
        <v>7</v>
      </c>
      <c r="C71" s="1108"/>
      <c r="D71" s="1108"/>
      <c r="E71" s="1108"/>
      <c r="F71" s="305"/>
      <c r="G71" s="302"/>
      <c r="H71" s="452" t="s">
        <v>624</v>
      </c>
      <c r="I71" s="1113" t="s">
        <v>625</v>
      </c>
      <c r="J71" s="1113"/>
      <c r="K71" s="1113"/>
      <c r="L71" s="1113"/>
      <c r="M71" s="297"/>
      <c r="N71" s="297"/>
      <c r="O71" s="297"/>
      <c r="P71" s="297"/>
      <c r="Q71" s="297"/>
      <c r="R71" s="302"/>
      <c r="S71" s="708">
        <v>21</v>
      </c>
      <c r="T71" s="113">
        <v>0.854</v>
      </c>
      <c r="U71" s="821"/>
      <c r="V71" s="310"/>
      <c r="W71" s="277"/>
      <c r="X71" s="277"/>
      <c r="Y71" s="277"/>
      <c r="Z71" s="277"/>
      <c r="AA71" s="277"/>
      <c r="AB71" s="277"/>
      <c r="AC71" s="277"/>
      <c r="AD71" s="277"/>
      <c r="AE71" s="277"/>
      <c r="AF71" s="277"/>
      <c r="AG71" s="277"/>
      <c r="AH71" s="277"/>
      <c r="AI71" s="277"/>
      <c r="AJ71" s="277"/>
      <c r="AK71" s="277"/>
      <c r="AL71" s="277"/>
    </row>
    <row r="72" spans="1:38" ht="15" customHeight="1">
      <c r="A72" s="40"/>
      <c r="B72" s="337"/>
      <c r="C72" s="824" t="s">
        <v>719</v>
      </c>
      <c r="D72" s="318" t="s">
        <v>141</v>
      </c>
      <c r="E72" s="319" t="s">
        <v>142</v>
      </c>
      <c r="F72" s="1121" t="s">
        <v>651</v>
      </c>
      <c r="G72" s="1122"/>
      <c r="H72" s="1123"/>
      <c r="I72" s="449">
        <f>((K73+40)*9/5)-40</f>
        <v>68</v>
      </c>
      <c r="J72" s="450">
        <f>((K74+40)*9/5)-40</f>
        <v>150.8</v>
      </c>
      <c r="K72" s="318" t="s">
        <v>141</v>
      </c>
      <c r="L72" s="319" t="s">
        <v>142</v>
      </c>
      <c r="M72" s="297"/>
      <c r="N72" s="297"/>
      <c r="O72" s="297"/>
      <c r="P72" s="297"/>
      <c r="Q72" s="297"/>
      <c r="R72" s="302"/>
      <c r="S72" s="708">
        <v>22</v>
      </c>
      <c r="T72" s="113">
        <v>0.829</v>
      </c>
      <c r="U72" s="821"/>
      <c r="V72" s="310"/>
      <c r="W72" s="277"/>
      <c r="X72" s="277"/>
      <c r="Y72" s="277"/>
      <c r="Z72" s="277"/>
      <c r="AA72" s="277"/>
      <c r="AB72" s="277"/>
      <c r="AC72" s="277"/>
      <c r="AD72" s="277"/>
      <c r="AE72" s="277"/>
      <c r="AF72" s="277"/>
      <c r="AG72" s="277"/>
      <c r="AH72" s="277"/>
      <c r="AI72" s="277"/>
      <c r="AJ72" s="277"/>
      <c r="AK72" s="277"/>
      <c r="AL72" s="277"/>
    </row>
    <row r="73" spans="1:38" ht="15" customHeight="1">
      <c r="A73" s="293"/>
      <c r="B73" s="341">
        <f>((D73+40)*9/5)-40</f>
        <v>68</v>
      </c>
      <c r="C73" s="56" t="s">
        <v>130</v>
      </c>
      <c r="D73" s="595">
        <v>20</v>
      </c>
      <c r="E73" s="598">
        <v>68</v>
      </c>
      <c r="F73" s="298"/>
      <c r="G73" s="302"/>
      <c r="H73" s="296"/>
      <c r="I73" s="1129" t="s">
        <v>130</v>
      </c>
      <c r="J73" s="1130"/>
      <c r="K73" s="595">
        <v>20</v>
      </c>
      <c r="L73" s="598">
        <v>68</v>
      </c>
      <c r="M73" s="298"/>
      <c r="N73" s="298"/>
      <c r="O73" s="298"/>
      <c r="P73" s="298"/>
      <c r="Q73" s="298"/>
      <c r="R73" s="273"/>
      <c r="S73" s="708">
        <v>23</v>
      </c>
      <c r="T73" s="113">
        <v>0.804</v>
      </c>
      <c r="V73" s="277"/>
      <c r="W73" s="297"/>
      <c r="X73" s="297"/>
      <c r="Y73" s="297"/>
      <c r="Z73" s="297"/>
      <c r="AA73" s="297"/>
      <c r="AB73" s="297"/>
      <c r="AC73" s="297"/>
      <c r="AD73" s="297"/>
      <c r="AE73" s="297"/>
      <c r="AF73" s="309"/>
      <c r="AG73" s="1078"/>
      <c r="AH73" s="1079"/>
      <c r="AI73" s="1079"/>
      <c r="AJ73" s="1079"/>
      <c r="AK73" s="21"/>
      <c r="AL73" s="21"/>
    </row>
    <row r="74" spans="1:38" ht="15" customHeight="1">
      <c r="A74" s="297"/>
      <c r="B74" s="341">
        <f>((D74+40)*9/5)-40</f>
        <v>150.8</v>
      </c>
      <c r="C74" s="451" t="s">
        <v>131</v>
      </c>
      <c r="D74" s="596">
        <v>66</v>
      </c>
      <c r="E74" s="599">
        <v>150</v>
      </c>
      <c r="F74" s="298"/>
      <c r="G74" s="302"/>
      <c r="H74" s="296"/>
      <c r="I74" s="1111" t="s">
        <v>131</v>
      </c>
      <c r="J74" s="1112"/>
      <c r="K74" s="596">
        <v>66</v>
      </c>
      <c r="L74" s="599">
        <v>150</v>
      </c>
      <c r="M74" s="298"/>
      <c r="N74" s="298"/>
      <c r="O74" s="298"/>
      <c r="P74" s="298"/>
      <c r="Q74" s="298"/>
      <c r="R74" s="273"/>
      <c r="S74" s="708">
        <v>24</v>
      </c>
      <c r="T74" s="113">
        <v>0.718</v>
      </c>
      <c r="V74" s="277"/>
      <c r="W74" s="293"/>
      <c r="X74" s="293"/>
      <c r="Y74" s="293"/>
      <c r="Z74" s="293"/>
      <c r="AA74" s="293"/>
      <c r="AB74" s="293"/>
      <c r="AC74" s="293"/>
      <c r="AD74" s="293"/>
      <c r="AE74" s="1101"/>
      <c r="AF74" s="1101"/>
      <c r="AG74" s="1101"/>
      <c r="AH74" s="1101"/>
      <c r="AI74" s="1074" t="s">
        <v>138</v>
      </c>
      <c r="AJ74" s="1074"/>
      <c r="AK74" s="1074"/>
      <c r="AL74" s="21"/>
    </row>
    <row r="75" spans="1:38" ht="15" customHeight="1">
      <c r="A75" s="293"/>
      <c r="B75" s="337"/>
      <c r="C75" s="58" t="s">
        <v>633</v>
      </c>
      <c r="D75" s="597">
        <v>1060</v>
      </c>
      <c r="E75" s="600">
        <v>1060</v>
      </c>
      <c r="F75" s="298"/>
      <c r="G75" s="302"/>
      <c r="H75" s="296"/>
      <c r="I75" s="1109" t="s">
        <v>633</v>
      </c>
      <c r="J75" s="1110"/>
      <c r="K75" s="597">
        <v>60</v>
      </c>
      <c r="L75" s="600">
        <v>60</v>
      </c>
      <c r="M75" s="298"/>
      <c r="N75" s="298"/>
      <c r="O75" s="298"/>
      <c r="P75" s="298"/>
      <c r="Q75" s="298"/>
      <c r="R75" s="273"/>
      <c r="S75" s="708">
        <v>25</v>
      </c>
      <c r="T75" s="113">
        <v>0.699</v>
      </c>
      <c r="V75" s="277"/>
      <c r="W75" s="298"/>
      <c r="X75" s="298"/>
      <c r="Y75" s="298"/>
      <c r="Z75" s="298"/>
      <c r="AA75" s="298"/>
      <c r="AB75" s="298"/>
      <c r="AC75" s="298"/>
      <c r="AD75" s="293"/>
      <c r="AE75" s="1080" t="s">
        <v>120</v>
      </c>
      <c r="AF75" s="1080"/>
      <c r="AG75" s="1080"/>
      <c r="AH75" s="1080"/>
      <c r="AI75" s="1073" t="s">
        <v>3</v>
      </c>
      <c r="AJ75" s="1073"/>
      <c r="AK75" s="1073"/>
      <c r="AL75" s="108"/>
    </row>
    <row r="76" spans="1:38" ht="15" customHeight="1">
      <c r="A76" s="297"/>
      <c r="B76" s="293"/>
      <c r="C76" s="447" t="s">
        <v>132</v>
      </c>
      <c r="D76" s="448">
        <f>1000+(FIXED(D75*((1.00130346-0.000134722124*B74+0.00000204052596*B74^2-0.00000000232820948*B74^3)/(1.00130346-0.000134722124*B73+0.00000204052596*B73^2-0.00000000232820948*B73^3)),1)-1000)</f>
        <v>1079.7</v>
      </c>
      <c r="E76" s="448">
        <f>1000+FIXED((E75)*((1.00130346-0.000134722124*E74+0.00000204052596*E74^2-0.00000000232820948*E74^3)/(1.00130346-0.000134722124*E73+0.00000204052596*E73^2-0.00000000232820948*E73^3)),1)-1000</f>
        <v>1079.4</v>
      </c>
      <c r="F76" s="1118" t="s">
        <v>686</v>
      </c>
      <c r="G76" s="1119"/>
      <c r="H76" s="1120"/>
      <c r="I76" s="1131" t="s">
        <v>132</v>
      </c>
      <c r="J76" s="1132"/>
      <c r="K76" s="448">
        <f>1000+(FIXED((1000+K75)*((1.00130346-0.000134722124*J72+0.00000204052596*J72^2-0.00000000232820948*J72^3)/(1.00130346-0.000134722124*I72+0.00000204052596*I72^2-0.00000000232820948*I72^3)),1)-2000)</f>
        <v>79.70000000000005</v>
      </c>
      <c r="L76" s="448">
        <f>1000+FIXED((1000+L75)*((1.00130346-0.000134722124*L74+0.00000204052596*L74^2-0.00000000232820948*L74^3)/(1.00130346-0.000134722124*L73+0.00000204052596*L73^2-0.00000000232820948*L73^3)),1)-2000</f>
        <v>79.40000000000009</v>
      </c>
      <c r="M76" s="297"/>
      <c r="N76" s="297"/>
      <c r="O76" s="297"/>
      <c r="P76" s="297"/>
      <c r="Q76" s="297"/>
      <c r="R76" s="302"/>
      <c r="S76" s="708">
        <v>26</v>
      </c>
      <c r="T76" s="113">
        <v>0.682</v>
      </c>
      <c r="V76" s="277"/>
      <c r="W76" s="298"/>
      <c r="X76" s="298"/>
      <c r="Y76" s="298"/>
      <c r="Z76" s="298"/>
      <c r="AA76" s="298"/>
      <c r="AB76" s="298"/>
      <c r="AC76" s="298"/>
      <c r="AD76" s="293"/>
      <c r="AE76" s="1080" t="s">
        <v>121</v>
      </c>
      <c r="AF76" s="1080"/>
      <c r="AG76" s="1080"/>
      <c r="AH76" s="1080"/>
      <c r="AI76" s="1077" t="s">
        <v>14</v>
      </c>
      <c r="AJ76" s="1077"/>
      <c r="AK76" s="1077"/>
      <c r="AL76" s="21"/>
    </row>
    <row r="77" spans="1:38" ht="15" customHeight="1">
      <c r="A77" s="394"/>
      <c r="B77" s="339"/>
      <c r="C77" s="339"/>
      <c r="D77" s="339"/>
      <c r="E77" s="339"/>
      <c r="F77" s="339"/>
      <c r="G77" s="339"/>
      <c r="H77" s="339"/>
      <c r="I77" s="339"/>
      <c r="J77" s="339"/>
      <c r="K77" s="339"/>
      <c r="L77" s="298"/>
      <c r="M77" s="298"/>
      <c r="N77" s="298"/>
      <c r="O77" s="298"/>
      <c r="P77" s="298"/>
      <c r="Q77" s="298"/>
      <c r="R77" s="273"/>
      <c r="S77" s="708">
        <v>27</v>
      </c>
      <c r="T77" s="113">
        <v>0.665</v>
      </c>
      <c r="V77" s="572"/>
      <c r="W77" s="1084" t="s">
        <v>17</v>
      </c>
      <c r="X77" s="1084"/>
      <c r="Y77" s="1084"/>
      <c r="Z77" s="1084"/>
      <c r="AA77" s="1084"/>
      <c r="AB77" s="1084"/>
      <c r="AC77" s="293"/>
      <c r="AD77" s="293"/>
      <c r="AE77" s="1080" t="s">
        <v>122</v>
      </c>
      <c r="AF77" s="1080"/>
      <c r="AG77" s="1080"/>
      <c r="AH77" s="1080"/>
      <c r="AI77" s="1073" t="s">
        <v>15</v>
      </c>
      <c r="AJ77" s="1073"/>
      <c r="AK77" s="1073"/>
      <c r="AL77" s="259"/>
    </row>
    <row r="78" spans="1:38" ht="15" customHeight="1">
      <c r="A78" s="706"/>
      <c r="B78" s="339"/>
      <c r="C78" s="339"/>
      <c r="D78" s="339"/>
      <c r="E78" s="339"/>
      <c r="F78" s="339"/>
      <c r="G78" s="339"/>
      <c r="H78" s="339"/>
      <c r="I78" s="339"/>
      <c r="J78" s="339"/>
      <c r="K78" s="339"/>
      <c r="L78" s="298"/>
      <c r="M78" s="298"/>
      <c r="N78" s="298"/>
      <c r="O78" s="298"/>
      <c r="P78" s="298"/>
      <c r="Q78" s="298"/>
      <c r="R78" s="273"/>
      <c r="S78" s="708">
        <v>28</v>
      </c>
      <c r="T78" s="709">
        <v>0.699</v>
      </c>
      <c r="V78" s="273"/>
      <c r="W78" s="273"/>
      <c r="X78" s="118"/>
      <c r="Y78" s="118"/>
      <c r="Z78" s="118"/>
      <c r="AA78" s="118"/>
      <c r="AB78" s="118"/>
      <c r="AC78" s="118"/>
      <c r="AD78" s="118"/>
      <c r="AE78" s="118"/>
      <c r="AF78" s="118"/>
      <c r="AG78" s="118"/>
      <c r="AH78" s="118"/>
      <c r="AI78" s="118"/>
      <c r="AJ78" s="118"/>
      <c r="AK78" s="118"/>
      <c r="AL78" s="118"/>
    </row>
  </sheetData>
  <sheetProtection password="FA80" sheet="1" objects="1" scenarios="1"/>
  <mergeCells count="138">
    <mergeCell ref="E61:F61"/>
    <mergeCell ref="E64:I64"/>
    <mergeCell ref="G61:H61"/>
    <mergeCell ref="E65:I65"/>
    <mergeCell ref="E66:I66"/>
    <mergeCell ref="E67:I67"/>
    <mergeCell ref="F76:H76"/>
    <mergeCell ref="F72:H72"/>
    <mergeCell ref="D68:I68"/>
    <mergeCell ref="I73:J73"/>
    <mergeCell ref="I76:J76"/>
    <mergeCell ref="B71:E71"/>
    <mergeCell ref="I75:J75"/>
    <mergeCell ref="I74:J74"/>
    <mergeCell ref="I71:L71"/>
    <mergeCell ref="AE74:AH74"/>
    <mergeCell ref="AE75:AH75"/>
    <mergeCell ref="AF39:AG39"/>
    <mergeCell ref="AF38:AG38"/>
    <mergeCell ref="Y51:AF51"/>
    <mergeCell ref="AC54:AE54"/>
    <mergeCell ref="AD16:AF16"/>
    <mergeCell ref="AF32:AG32"/>
    <mergeCell ref="AF28:AG28"/>
    <mergeCell ref="AF27:AG27"/>
    <mergeCell ref="AD22:AF22"/>
    <mergeCell ref="AD17:AF17"/>
    <mergeCell ref="AD18:AF18"/>
    <mergeCell ref="AD21:AF21"/>
    <mergeCell ref="AI77:AK77"/>
    <mergeCell ref="AI74:AK74"/>
    <mergeCell ref="AG55:AJ55"/>
    <mergeCell ref="AI75:AK75"/>
    <mergeCell ref="AI76:AK76"/>
    <mergeCell ref="AG73:AJ73"/>
    <mergeCell ref="AE76:AH76"/>
    <mergeCell ref="AE77:AH77"/>
    <mergeCell ref="Z55:AF55"/>
    <mergeCell ref="W77:AB77"/>
    <mergeCell ref="AH26:AI26"/>
    <mergeCell ref="AA30:AB30"/>
    <mergeCell ref="AA28:AB28"/>
    <mergeCell ref="AH27:AI27"/>
    <mergeCell ref="X27:AB27"/>
    <mergeCell ref="AA29:AB29"/>
    <mergeCell ref="AF29:AG29"/>
    <mergeCell ref="AD27:AE27"/>
    <mergeCell ref="AF30:AG30"/>
    <mergeCell ref="B37:C37"/>
    <mergeCell ref="G42:L42"/>
    <mergeCell ref="G37:K39"/>
    <mergeCell ref="G41:L41"/>
    <mergeCell ref="D37:E37"/>
    <mergeCell ref="D41:E41"/>
    <mergeCell ref="D39:E39"/>
    <mergeCell ref="D42:E42"/>
    <mergeCell ref="D38:E38"/>
    <mergeCell ref="Z54:AA54"/>
    <mergeCell ref="L58:N58"/>
    <mergeCell ref="W51:X51"/>
    <mergeCell ref="I57:J57"/>
    <mergeCell ref="B56:J56"/>
    <mergeCell ref="E57:F57"/>
    <mergeCell ref="I58:J58"/>
    <mergeCell ref="L57:M57"/>
    <mergeCell ref="O58:R60"/>
    <mergeCell ref="G58:H58"/>
    <mergeCell ref="Z52:AA52"/>
    <mergeCell ref="AF36:AG36"/>
    <mergeCell ref="AF37:AG37"/>
    <mergeCell ref="AF41:AG41"/>
    <mergeCell ref="AD48:AG48"/>
    <mergeCell ref="AF40:AG40"/>
    <mergeCell ref="AF44:AG44"/>
    <mergeCell ref="D43:E43"/>
    <mergeCell ref="E48:F48"/>
    <mergeCell ref="AF42:AG42"/>
    <mergeCell ref="AD19:AF19"/>
    <mergeCell ref="AD20:AF20"/>
    <mergeCell ref="AF35:AG35"/>
    <mergeCell ref="AA31:AB31"/>
    <mergeCell ref="AF33:AG33"/>
    <mergeCell ref="Y34:AD34"/>
    <mergeCell ref="G57:H57"/>
    <mergeCell ref="G60:H60"/>
    <mergeCell ref="D50:L53"/>
    <mergeCell ref="E49:F49"/>
    <mergeCell ref="E60:F60"/>
    <mergeCell ref="P1:R1"/>
    <mergeCell ref="P2:R2"/>
    <mergeCell ref="J49:K49"/>
    <mergeCell ref="M46:Q48"/>
    <mergeCell ref="Q34:R34"/>
    <mergeCell ref="I34:K34"/>
    <mergeCell ref="G43:L43"/>
    <mergeCell ref="I15:J15"/>
    <mergeCell ref="G1:K1"/>
    <mergeCell ref="Z2:AA2"/>
    <mergeCell ref="W1:X1"/>
    <mergeCell ref="Y10:AA10"/>
    <mergeCell ref="Y11:AA11"/>
    <mergeCell ref="Z7:AA7"/>
    <mergeCell ref="Y8:AA8"/>
    <mergeCell ref="Y9:AA9"/>
    <mergeCell ref="X12:AA12"/>
    <mergeCell ref="Z20:Z21"/>
    <mergeCell ref="W26:Z26"/>
    <mergeCell ref="Y28:Z28"/>
    <mergeCell ref="X14:AA15"/>
    <mergeCell ref="Z16:AA16"/>
    <mergeCell ref="A2:C2"/>
    <mergeCell ref="B3:C3"/>
    <mergeCell ref="K15:L15"/>
    <mergeCell ref="Q33:R33"/>
    <mergeCell ref="B30:C30"/>
    <mergeCell ref="J12:M12"/>
    <mergeCell ref="I33:K33"/>
    <mergeCell ref="L30:N30"/>
    <mergeCell ref="AC2:AF2"/>
    <mergeCell ref="AD23:AF23"/>
    <mergeCell ref="AF31:AG31"/>
    <mergeCell ref="E47:F47"/>
    <mergeCell ref="AF34:AG34"/>
    <mergeCell ref="Y32:AD33"/>
    <mergeCell ref="AF45:AG45"/>
    <mergeCell ref="AF47:AG47"/>
    <mergeCell ref="AF43:AG43"/>
    <mergeCell ref="AF46:AG46"/>
    <mergeCell ref="B46:C46"/>
    <mergeCell ref="AG52:AJ54"/>
    <mergeCell ref="AC52:AE52"/>
    <mergeCell ref="Z53:AA53"/>
    <mergeCell ref="AC53:AE53"/>
    <mergeCell ref="B47:C47"/>
    <mergeCell ref="E46:F46"/>
    <mergeCell ref="J46:K46"/>
    <mergeCell ref="J47:K47"/>
    <mergeCell ref="J48:K48"/>
  </mergeCells>
  <conditionalFormatting sqref="D59">
    <cfRule type="cellIs" priority="1" dxfId="12" operator="greaterThan" stopIfTrue="1">
      <formula>4</formula>
    </cfRule>
  </conditionalFormatting>
  <conditionalFormatting sqref="E59">
    <cfRule type="cellIs" priority="2" dxfId="12" operator="greaterThan" stopIfTrue="1">
      <formula>30</formula>
    </cfRule>
  </conditionalFormatting>
  <conditionalFormatting sqref="I49 D49 L47:L48 G47:G48">
    <cfRule type="cellIs" priority="3" dxfId="12" operator="lessThan" stopIfTrue="1">
      <formula>0</formula>
    </cfRule>
  </conditionalFormatting>
  <conditionalFormatting sqref="Y7:Z7">
    <cfRule type="cellIs" priority="4" dxfId="16" operator="between" stopIfTrue="1">
      <formula>25</formula>
      <formula>30</formula>
    </cfRule>
    <cfRule type="cellIs" priority="5" dxfId="15" operator="between" stopIfTrue="1">
      <formula>20</formula>
      <formula>25</formula>
    </cfRule>
    <cfRule type="cellIs" priority="6" dxfId="14" operator="greaterThan" stopIfTrue="1">
      <formula>30</formula>
    </cfRule>
  </conditionalFormatting>
  <conditionalFormatting sqref="Y20 AA20">
    <cfRule type="cellIs" priority="7" dxfId="16" operator="between" stopIfTrue="1">
      <formula>49</formula>
      <formula>54</formula>
    </cfRule>
    <cfRule type="cellIs" priority="8" dxfId="15" operator="between" stopIfTrue="1">
      <formula>42</formula>
      <formula>49</formula>
    </cfRule>
    <cfRule type="cellIs" priority="9" dxfId="14" operator="greaterThan" stopIfTrue="1">
      <formula>54</formula>
    </cfRule>
  </conditionalFormatting>
  <conditionalFormatting sqref="Y21 AA21">
    <cfRule type="cellIs" priority="10" dxfId="16" operator="between" stopIfTrue="1">
      <formula>53</formula>
      <formula>58</formula>
    </cfRule>
    <cfRule type="cellIs" priority="11" dxfId="15" operator="between" stopIfTrue="1">
      <formula>43</formula>
      <formula>53</formula>
    </cfRule>
    <cfRule type="cellIs" priority="12" dxfId="14" operator="greaterThan" stopIfTrue="1">
      <formula>58</formula>
    </cfRule>
  </conditionalFormatting>
  <conditionalFormatting sqref="Q31 J31 G34 O34">
    <cfRule type="cellIs" priority="13" dxfId="12" operator="greaterThan" stopIfTrue="1">
      <formula>200</formula>
    </cfRule>
  </conditionalFormatting>
  <conditionalFormatting sqref="O31 E31 F34 N34">
    <cfRule type="cellIs" priority="14" dxfId="12" operator="greaterThan" stopIfTrue="1">
      <formula>175</formula>
    </cfRule>
  </conditionalFormatting>
  <hyperlinks>
    <hyperlink ref="U64" location="'Beer Calc'!A141" display="Default settings"/>
    <hyperlink ref="U66" location="'Extract Calc'!N64" display="See cells N64 etc."/>
    <hyperlink ref="P2" r:id="rId1" display="www.PetesPintPot.co.uk"/>
    <hyperlink ref="I71:L71" location="'General Calc''s'!G42" display="using the simpler &quot;brewers degrees&quot;"/>
    <hyperlink ref="AI75" r:id="rId2" display="www.PetesPintPot.co.uk"/>
    <hyperlink ref="AI76" r:id="rId3" display="david.barrow@live.co.uk"/>
    <hyperlink ref="AI77" r:id="rId4" display="www.yobrew.co.uk"/>
    <hyperlink ref="F76:H76" location="'General Calc''s'!C26" display="See Temperature Converter"/>
    <hyperlink ref="H46" location="'General Calc''s'!G42" display="OR,"/>
  </hyperlinks>
  <printOptions horizontalCentered="1"/>
  <pageMargins left="0.18" right="0.18" top="0.47244094488189" bottom="0.354330708661417" header="0.354330708661417" footer="0.47244094488189"/>
  <pageSetup fitToWidth="2" horizontalDpi="30066" verticalDpi="30066" orientation="portrait" paperSize="9" scale="64" r:id="rId6"/>
  <colBreaks count="1" manualBreakCount="1">
    <brk id="21" max="76" man="1"/>
  </colBreaks>
  <drawing r:id="rId5"/>
</worksheet>
</file>

<file path=xl/worksheets/sheet3.xml><?xml version="1.0" encoding="utf-8"?>
<worksheet xmlns="http://schemas.openxmlformats.org/spreadsheetml/2006/main" xmlns:r="http://schemas.openxmlformats.org/officeDocument/2006/relationships">
  <sheetPr>
    <tabColor indexed="45"/>
  </sheetPr>
  <dimension ref="A1:BD286"/>
  <sheetViews>
    <sheetView zoomScale="83" zoomScaleNormal="83" zoomScaleSheetLayoutView="76" zoomScalePageLayoutView="0" workbookViewId="0" topLeftCell="A1">
      <pane ySplit="9" topLeftCell="BM10" activePane="bottomLeft" state="frozen"/>
      <selection pane="topLeft" activeCell="S1" sqref="S1"/>
      <selection pane="bottomLeft" activeCell="H15" sqref="H15"/>
    </sheetView>
  </sheetViews>
  <sheetFormatPr defaultColWidth="10.00390625" defaultRowHeight="15"/>
  <cols>
    <col min="1" max="1" width="1.1484375" style="0" customWidth="1"/>
    <col min="2" max="2" width="9.28125" style="0" bestFit="1" customWidth="1"/>
    <col min="3" max="3" width="30.28125" style="0" customWidth="1"/>
    <col min="4" max="5" width="9.7109375" style="0" customWidth="1"/>
    <col min="6" max="6" width="10.7109375" style="0" customWidth="1"/>
    <col min="7" max="7" width="10.421875" style="0" customWidth="1"/>
    <col min="8" max="8" width="10.140625" style="0" customWidth="1"/>
    <col min="9" max="9" width="11.7109375" style="0" customWidth="1"/>
    <col min="10" max="11" width="9.57421875" style="0" customWidth="1"/>
    <col min="12" max="21" width="9.28125" style="0" customWidth="1"/>
    <col min="22" max="22" width="3.00390625" style="0" customWidth="1"/>
    <col min="23" max="23" width="8.8515625" style="0" hidden="1" customWidth="1"/>
    <col min="24" max="24" width="9.28125" style="0" hidden="1" customWidth="1"/>
    <col min="25" max="25" width="9.140625" style="0" hidden="1" customWidth="1"/>
    <col min="26" max="26" width="3.140625" style="0" customWidth="1"/>
    <col min="27" max="27" width="20.28125" style="0" customWidth="1"/>
    <col min="28" max="39" width="8.421875" style="0" customWidth="1"/>
    <col min="40" max="40" width="7.421875" style="0" customWidth="1"/>
    <col min="41" max="52" width="8.421875" style="0" hidden="1" customWidth="1"/>
    <col min="53" max="55" width="8.28125" style="0" customWidth="1"/>
    <col min="56" max="56" width="6.28125" style="0" customWidth="1"/>
  </cols>
  <sheetData>
    <row r="1" spans="1:55" ht="21">
      <c r="A1" s="53"/>
      <c r="B1" s="135"/>
      <c r="C1" s="136"/>
      <c r="D1" s="137"/>
      <c r="E1" s="16"/>
      <c r="F1" s="214"/>
      <c r="G1" s="214"/>
      <c r="H1" s="1317" t="s">
        <v>799</v>
      </c>
      <c r="I1" s="1317"/>
      <c r="J1" s="1317"/>
      <c r="K1" s="1317"/>
      <c r="L1" s="1317"/>
      <c r="M1" s="137"/>
      <c r="N1" s="137"/>
      <c r="O1" s="137"/>
      <c r="P1" s="33"/>
      <c r="Q1" s="33"/>
      <c r="R1" s="33"/>
      <c r="S1" s="37"/>
      <c r="T1" s="1315" t="s">
        <v>613</v>
      </c>
      <c r="U1" s="1315"/>
      <c r="V1" s="1315"/>
      <c r="W1" s="1186" t="s">
        <v>356</v>
      </c>
      <c r="X1" s="1186"/>
      <c r="Y1" s="1186"/>
      <c r="Z1" s="1002">
        <v>1</v>
      </c>
      <c r="AA1" s="1314" t="s">
        <v>675</v>
      </c>
      <c r="AB1" s="1314"/>
      <c r="AC1" s="1314"/>
      <c r="AD1" s="1314"/>
      <c r="AE1" s="1314"/>
      <c r="AF1" s="1314"/>
      <c r="AG1" s="1314"/>
      <c r="AH1" s="1314"/>
      <c r="AI1" s="1314"/>
      <c r="AJ1" s="1314"/>
      <c r="AK1" s="1314"/>
      <c r="AL1" s="1314"/>
      <c r="AM1" s="1314"/>
      <c r="AN1" s="466"/>
      <c r="AO1" s="490" t="s">
        <v>400</v>
      </c>
      <c r="AP1" s="490" t="s">
        <v>400</v>
      </c>
      <c r="AQ1" s="490" t="s">
        <v>400</v>
      </c>
      <c r="AR1" s="490" t="s">
        <v>400</v>
      </c>
      <c r="AS1" s="490" t="s">
        <v>400</v>
      </c>
      <c r="AT1" s="490" t="s">
        <v>400</v>
      </c>
      <c r="AU1" s="490" t="s">
        <v>400</v>
      </c>
      <c r="AV1" s="490" t="s">
        <v>400</v>
      </c>
      <c r="AW1" s="490" t="s">
        <v>400</v>
      </c>
      <c r="AX1" s="490" t="s">
        <v>400</v>
      </c>
      <c r="AY1" s="490" t="s">
        <v>400</v>
      </c>
      <c r="AZ1" s="490" t="s">
        <v>400</v>
      </c>
      <c r="BA1" s="490"/>
      <c r="BB1" s="470"/>
      <c r="BC1" s="471"/>
    </row>
    <row r="2" spans="1:55" ht="14.25" customHeight="1">
      <c r="A2" s="53"/>
      <c r="B2" s="258" t="s">
        <v>614</v>
      </c>
      <c r="C2" s="258"/>
      <c r="D2" s="137"/>
      <c r="E2" s="137"/>
      <c r="F2" s="137"/>
      <c r="G2" s="137"/>
      <c r="H2" s="137"/>
      <c r="I2" s="137"/>
      <c r="J2" s="248"/>
      <c r="K2" s="137"/>
      <c r="L2" s="137"/>
      <c r="M2" s="37"/>
      <c r="N2" s="37"/>
      <c r="O2" s="202"/>
      <c r="P2" s="33"/>
      <c r="Q2" s="33"/>
      <c r="R2" s="33"/>
      <c r="S2" s="37"/>
      <c r="T2" s="940" t="s">
        <v>3</v>
      </c>
      <c r="U2" s="1316"/>
      <c r="V2" s="1316"/>
      <c r="W2" s="233"/>
      <c r="X2" s="233"/>
      <c r="Y2" s="233"/>
      <c r="Z2" s="177"/>
      <c r="AA2" s="1329" t="s">
        <v>359</v>
      </c>
      <c r="AB2" s="1292" t="s">
        <v>365</v>
      </c>
      <c r="AC2" s="1293"/>
      <c r="AD2" s="1292" t="s">
        <v>370</v>
      </c>
      <c r="AE2" s="1293"/>
      <c r="AF2" s="1292" t="s">
        <v>375</v>
      </c>
      <c r="AG2" s="1293"/>
      <c r="AH2" s="1292" t="s">
        <v>382</v>
      </c>
      <c r="AI2" s="1293"/>
      <c r="AJ2" s="1292" t="s">
        <v>387</v>
      </c>
      <c r="AK2" s="1293"/>
      <c r="AL2" s="1292" t="s">
        <v>603</v>
      </c>
      <c r="AM2" s="1293"/>
      <c r="AN2" s="472"/>
      <c r="AO2" s="473"/>
      <c r="AP2" s="473"/>
      <c r="AQ2" s="473"/>
      <c r="AR2" s="473"/>
      <c r="AS2" s="473"/>
      <c r="AT2" s="473"/>
      <c r="AU2" s="473"/>
      <c r="AV2" s="473"/>
      <c r="AW2" s="473"/>
      <c r="AX2" s="473"/>
      <c r="AY2" s="473"/>
      <c r="AZ2" s="473"/>
      <c r="BA2" s="473"/>
      <c r="BB2" s="473"/>
      <c r="BC2" s="471"/>
    </row>
    <row r="3" spans="1:55" ht="14.25" customHeight="1">
      <c r="A3" s="53"/>
      <c r="B3" s="1318" t="s">
        <v>732</v>
      </c>
      <c r="C3" s="1318"/>
      <c r="D3" s="140"/>
      <c r="E3" s="140"/>
      <c r="F3" s="141" t="s">
        <v>239</v>
      </c>
      <c r="G3" s="1319" t="s">
        <v>714</v>
      </c>
      <c r="H3" s="1319"/>
      <c r="I3" s="1319"/>
      <c r="J3" s="1319"/>
      <c r="K3" s="1319"/>
      <c r="L3" s="1319"/>
      <c r="M3" s="37"/>
      <c r="N3" s="543"/>
      <c r="O3" s="1320" t="s">
        <v>687</v>
      </c>
      <c r="P3" s="1320"/>
      <c r="Q3" s="1320"/>
      <c r="R3" s="1320"/>
      <c r="S3" s="37"/>
      <c r="T3" s="37"/>
      <c r="U3" s="37"/>
      <c r="V3" s="37"/>
      <c r="W3" s="110"/>
      <c r="X3" s="110"/>
      <c r="Y3" s="110"/>
      <c r="Z3" s="177"/>
      <c r="AA3" s="1330"/>
      <c r="AB3" s="1294"/>
      <c r="AC3" s="1295"/>
      <c r="AD3" s="1294"/>
      <c r="AE3" s="1295"/>
      <c r="AF3" s="1294"/>
      <c r="AG3" s="1295"/>
      <c r="AH3" s="1294"/>
      <c r="AI3" s="1295"/>
      <c r="AJ3" s="1294"/>
      <c r="AK3" s="1295"/>
      <c r="AL3" s="278" t="s">
        <v>604</v>
      </c>
      <c r="AM3" s="279" t="s">
        <v>605</v>
      </c>
      <c r="AN3" s="472"/>
      <c r="AO3" s="473"/>
      <c r="AP3" s="473"/>
      <c r="AQ3" s="473"/>
      <c r="AR3" s="473"/>
      <c r="AS3" s="473"/>
      <c r="AT3" s="473"/>
      <c r="AU3" s="473"/>
      <c r="AV3" s="473"/>
      <c r="AW3" s="473"/>
      <c r="AX3" s="473"/>
      <c r="AY3" s="473"/>
      <c r="AZ3" s="473"/>
      <c r="BA3" s="473"/>
      <c r="BB3" s="473"/>
      <c r="BC3" s="471"/>
    </row>
    <row r="4" spans="1:55" ht="14.25" customHeight="1">
      <c r="A4" s="53"/>
      <c r="B4" s="12"/>
      <c r="C4" s="12" t="s">
        <v>150</v>
      </c>
      <c r="D4" s="19">
        <f>1000+(J62-1000)*(J60/J59)</f>
        <v>1079.0384494532657</v>
      </c>
      <c r="E4" s="140"/>
      <c r="F4" s="799" t="s">
        <v>240</v>
      </c>
      <c r="G4" s="835" t="str">
        <f>FIXED((D4-D5)/(7.75-3*(D4-1000)/800),1)&amp;"% ABV"</f>
        <v>11.5% ABV</v>
      </c>
      <c r="H4" s="1313" t="str">
        <f>"(OR, after priming with "&amp;FIXED(J78*(J79/1000),2)&amp;"g sugar per "&amp;(J79)&amp;"ml bottle, "&amp;FIXED(J85,1)&amp;"% ABV)"</f>
        <v>(OR, after priming with 0.00g sugar per 750ml bottle, 11.5% ABV)</v>
      </c>
      <c r="I4" s="1313"/>
      <c r="J4" s="1313"/>
      <c r="K4" s="1313"/>
      <c r="L4" s="1313"/>
      <c r="M4" s="1313"/>
      <c r="N4" s="800"/>
      <c r="O4" s="1322" t="s">
        <v>317</v>
      </c>
      <c r="P4" s="1322"/>
      <c r="Q4" s="1322"/>
      <c r="R4" s="1322"/>
      <c r="S4" s="801"/>
      <c r="T4" s="53"/>
      <c r="U4" s="53"/>
      <c r="V4" s="53"/>
      <c r="W4" s="144"/>
      <c r="X4" s="144"/>
      <c r="Y4" s="144"/>
      <c r="Z4" s="232"/>
      <c r="AA4" s="282" t="s">
        <v>360</v>
      </c>
      <c r="AB4" s="1194" t="s">
        <v>366</v>
      </c>
      <c r="AC4" s="1195"/>
      <c r="AD4" s="1194" t="s">
        <v>371</v>
      </c>
      <c r="AE4" s="1195"/>
      <c r="AF4" s="1194" t="s">
        <v>376</v>
      </c>
      <c r="AG4" s="1195"/>
      <c r="AH4" s="1194" t="s">
        <v>383</v>
      </c>
      <c r="AI4" s="1195"/>
      <c r="AJ4" s="1192" t="s">
        <v>388</v>
      </c>
      <c r="AK4" s="1193"/>
      <c r="AL4" s="142" t="s">
        <v>392</v>
      </c>
      <c r="AM4" s="281" t="s">
        <v>392</v>
      </c>
      <c r="AN4" s="1201" t="s">
        <v>364</v>
      </c>
      <c r="AO4" s="1202"/>
      <c r="AP4" s="1202"/>
      <c r="AQ4" s="1202"/>
      <c r="AR4" s="1202"/>
      <c r="AS4" s="1202"/>
      <c r="AT4" s="1202"/>
      <c r="AU4" s="1202"/>
      <c r="AV4" s="1202"/>
      <c r="AW4" s="1202"/>
      <c r="AX4" s="1202"/>
      <c r="AY4" s="1202"/>
      <c r="AZ4" s="1202"/>
      <c r="BA4" s="1202"/>
      <c r="BB4" s="1202"/>
      <c r="BC4" s="1202"/>
    </row>
    <row r="5" spans="1:55" ht="14.25" customHeight="1">
      <c r="A5" s="53"/>
      <c r="B5" s="12"/>
      <c r="C5" s="12" t="s">
        <v>151</v>
      </c>
      <c r="D5" s="19">
        <f>1000+(J63-1000)*(J60/J59)</f>
        <v>993.68189147253</v>
      </c>
      <c r="E5" s="140"/>
      <c r="F5" s="799" t="s">
        <v>241</v>
      </c>
      <c r="G5" s="1327" t="str">
        <f>FIXED((Q25/(10*J60)+0.15)*J61/D7)&amp;"% (expressed in terms of the tartaric equivalent)"</f>
        <v>0.63% (expressed in terms of the tartaric equivalent)</v>
      </c>
      <c r="H5" s="1327"/>
      <c r="I5" s="1327"/>
      <c r="J5" s="1327"/>
      <c r="K5" s="1327"/>
      <c r="L5" s="1327"/>
      <c r="M5" s="1327"/>
      <c r="N5" s="189"/>
      <c r="O5" s="189"/>
      <c r="P5" s="12"/>
      <c r="Q5" s="53"/>
      <c r="R5" s="53"/>
      <c r="S5" s="53"/>
      <c r="T5" s="53"/>
      <c r="U5" s="53"/>
      <c r="V5" s="53"/>
      <c r="W5" s="144"/>
      <c r="X5" s="144"/>
      <c r="Y5" s="144"/>
      <c r="Z5" s="232"/>
      <c r="AA5" s="283" t="s">
        <v>361</v>
      </c>
      <c r="AB5" s="1190" t="s">
        <v>367</v>
      </c>
      <c r="AC5" s="1191"/>
      <c r="AD5" s="1190" t="s">
        <v>372</v>
      </c>
      <c r="AE5" s="1191"/>
      <c r="AF5" s="1190" t="s">
        <v>377</v>
      </c>
      <c r="AG5" s="1191"/>
      <c r="AH5" s="1190" t="s">
        <v>384</v>
      </c>
      <c r="AI5" s="1191"/>
      <c r="AJ5" s="1190" t="s">
        <v>389</v>
      </c>
      <c r="AK5" s="1191"/>
      <c r="AL5" s="142" t="s">
        <v>393</v>
      </c>
      <c r="AM5" s="280" t="s">
        <v>402</v>
      </c>
      <c r="AN5" s="1201"/>
      <c r="AO5" s="1202"/>
      <c r="AP5" s="1202"/>
      <c r="AQ5" s="1202"/>
      <c r="AR5" s="1202"/>
      <c r="AS5" s="1202"/>
      <c r="AT5" s="1202"/>
      <c r="AU5" s="1202"/>
      <c r="AV5" s="1202"/>
      <c r="AW5" s="1202"/>
      <c r="AX5" s="1202"/>
      <c r="AY5" s="1202"/>
      <c r="AZ5" s="1202"/>
      <c r="BA5" s="1202"/>
      <c r="BB5" s="1202"/>
      <c r="BC5" s="1202"/>
    </row>
    <row r="6" spans="1:55" ht="14.25" customHeight="1">
      <c r="A6" s="53"/>
      <c r="B6" s="12"/>
      <c r="C6" s="12" t="s">
        <v>152</v>
      </c>
      <c r="D6" s="19">
        <f>D5+X42</f>
        <v>993.68189147253</v>
      </c>
      <c r="E6" s="140"/>
      <c r="F6" s="799" t="s">
        <v>242</v>
      </c>
      <c r="G6" s="491" t="str">
        <f>FIXED((R25/(10*J59)*J61/D7),2)&amp;"%"</f>
        <v>0.01%</v>
      </c>
      <c r="H6" s="249"/>
      <c r="I6" s="249"/>
      <c r="J6" s="249"/>
      <c r="K6" s="249"/>
      <c r="L6" s="29"/>
      <c r="M6" s="12"/>
      <c r="N6" s="103"/>
      <c r="O6" s="103"/>
      <c r="P6" s="103"/>
      <c r="Q6" s="103"/>
      <c r="R6" s="53"/>
      <c r="S6" s="53"/>
      <c r="T6" s="53"/>
      <c r="U6" s="53"/>
      <c r="V6" s="53"/>
      <c r="W6" s="144"/>
      <c r="X6" s="144"/>
      <c r="Y6" s="234"/>
      <c r="Z6" s="232"/>
      <c r="AA6" s="283" t="s">
        <v>362</v>
      </c>
      <c r="AB6" s="1196" t="s">
        <v>368</v>
      </c>
      <c r="AC6" s="1197"/>
      <c r="AD6" s="1190" t="s">
        <v>373</v>
      </c>
      <c r="AE6" s="1191"/>
      <c r="AF6" s="1190" t="s">
        <v>378</v>
      </c>
      <c r="AG6" s="1191"/>
      <c r="AH6" s="1196" t="s">
        <v>368</v>
      </c>
      <c r="AI6" s="1197"/>
      <c r="AJ6" s="1190" t="s">
        <v>390</v>
      </c>
      <c r="AK6" s="1191"/>
      <c r="AL6" s="142" t="s">
        <v>394</v>
      </c>
      <c r="AM6" s="280" t="s">
        <v>394</v>
      </c>
      <c r="AN6" s="1201"/>
      <c r="AO6" s="1202"/>
      <c r="AP6" s="1202"/>
      <c r="AQ6" s="1202"/>
      <c r="AR6" s="1202"/>
      <c r="AS6" s="1202"/>
      <c r="AT6" s="1202"/>
      <c r="AU6" s="1202"/>
      <c r="AV6" s="1202"/>
      <c r="AW6" s="1202"/>
      <c r="AX6" s="1202"/>
      <c r="AY6" s="1202"/>
      <c r="AZ6" s="1202"/>
      <c r="BA6" s="1202"/>
      <c r="BB6" s="1202"/>
      <c r="BC6" s="1202"/>
    </row>
    <row r="7" spans="1:55" ht="14.25" customHeight="1">
      <c r="A7" s="53"/>
      <c r="B7" s="12"/>
      <c r="C7" s="12" t="s">
        <v>153</v>
      </c>
      <c r="D7" s="926">
        <v>4.5</v>
      </c>
      <c r="E7" s="445" t="str">
        <f>"/"&amp;FIXED(J60)&amp;" litres"</f>
        <v>/4.77 litres</v>
      </c>
      <c r="F7" s="799" t="s">
        <v>243</v>
      </c>
      <c r="G7" s="492" t="str">
        <f>IF(D6&gt;1020,"Dessert",IF(D6&gt;1015,"Sweet",IF(D6&gt;1010,"Medium Sweet",IF(D6&gt;1005,"Medium",IF(D6&gt;998,"Medium dry",IF(D6&gt;0,"Dry"))))))</f>
        <v>Dry</v>
      </c>
      <c r="H7" s="802"/>
      <c r="I7" s="802"/>
      <c r="J7" s="802"/>
      <c r="K7" s="802"/>
      <c r="L7" s="802"/>
      <c r="M7" s="12"/>
      <c r="N7" s="802"/>
      <c r="O7" s="802"/>
      <c r="P7" s="802"/>
      <c r="Q7" s="802"/>
      <c r="R7" s="53"/>
      <c r="S7" s="53"/>
      <c r="T7" s="53"/>
      <c r="U7" s="53"/>
      <c r="V7" s="53"/>
      <c r="W7" s="144"/>
      <c r="X7" s="144"/>
      <c r="Y7" s="234"/>
      <c r="Z7" s="232"/>
      <c r="AA7" s="284" t="s">
        <v>363</v>
      </c>
      <c r="AB7" s="1196" t="s">
        <v>369</v>
      </c>
      <c r="AC7" s="1197"/>
      <c r="AD7" s="1196" t="s">
        <v>374</v>
      </c>
      <c r="AE7" s="1197"/>
      <c r="AF7" s="1196" t="s">
        <v>379</v>
      </c>
      <c r="AG7" s="1197"/>
      <c r="AH7" s="1196" t="s">
        <v>385</v>
      </c>
      <c r="AI7" s="1197"/>
      <c r="AJ7" s="1196" t="s">
        <v>391</v>
      </c>
      <c r="AK7" s="1197"/>
      <c r="AL7" s="1196" t="s">
        <v>395</v>
      </c>
      <c r="AM7" s="1197"/>
      <c r="AN7" s="1201"/>
      <c r="AO7" s="1202"/>
      <c r="AP7" s="1202"/>
      <c r="AQ7" s="1202"/>
      <c r="AR7" s="1202"/>
      <c r="AS7" s="1202"/>
      <c r="AT7" s="1202"/>
      <c r="AU7" s="1202"/>
      <c r="AV7" s="1202"/>
      <c r="AW7" s="1202"/>
      <c r="AX7" s="1202"/>
      <c r="AY7" s="1202"/>
      <c r="AZ7" s="1202"/>
      <c r="BA7" s="1202"/>
      <c r="BB7" s="1202"/>
      <c r="BC7" s="1202"/>
    </row>
    <row r="8" spans="1:55" ht="14.25" customHeight="1">
      <c r="A8" s="53"/>
      <c r="B8" s="179"/>
      <c r="C8" s="1321" t="s">
        <v>680</v>
      </c>
      <c r="D8" s="1321"/>
      <c r="E8" s="1321"/>
      <c r="F8" s="467"/>
      <c r="G8" s="467"/>
      <c r="H8" s="4"/>
      <c r="I8" s="4"/>
      <c r="J8" s="4"/>
      <c r="K8" s="4"/>
      <c r="L8" s="4"/>
      <c r="M8" s="4"/>
      <c r="N8" s="4"/>
      <c r="O8" s="4"/>
      <c r="P8" s="4"/>
      <c r="Q8" s="4"/>
      <c r="R8" s="4"/>
      <c r="S8" s="37"/>
      <c r="T8" s="37"/>
      <c r="U8" s="37"/>
      <c r="V8" s="37"/>
      <c r="W8" s="110"/>
      <c r="X8" s="110"/>
      <c r="Y8" s="235"/>
      <c r="Z8" s="177"/>
      <c r="AA8" s="475" t="s">
        <v>673</v>
      </c>
      <c r="AB8" s="475" t="s">
        <v>672</v>
      </c>
      <c r="AC8" s="485" t="s">
        <v>134</v>
      </c>
      <c r="AD8" s="485" t="s">
        <v>134</v>
      </c>
      <c r="AE8" s="485" t="s">
        <v>134</v>
      </c>
      <c r="AF8" s="485" t="s">
        <v>134</v>
      </c>
      <c r="AG8" s="485" t="s">
        <v>134</v>
      </c>
      <c r="AH8" s="1200" t="s">
        <v>381</v>
      </c>
      <c r="AI8" s="1200"/>
      <c r="AJ8" s="1200"/>
      <c r="AK8" s="1200"/>
      <c r="AL8" s="1200"/>
      <c r="AM8" s="1200"/>
      <c r="AN8" s="1198" t="s">
        <v>591</v>
      </c>
      <c r="AO8" s="481"/>
      <c r="AP8" s="481"/>
      <c r="AQ8" s="481"/>
      <c r="AR8" s="481"/>
      <c r="AS8" s="481"/>
      <c r="AT8" s="481"/>
      <c r="AU8" s="481"/>
      <c r="AV8" s="481"/>
      <c r="AW8" s="481"/>
      <c r="AX8" s="481"/>
      <c r="AY8" s="481"/>
      <c r="AZ8" s="481"/>
      <c r="BA8" s="1204" t="s">
        <v>403</v>
      </c>
      <c r="BB8" s="1205"/>
      <c r="BC8" s="1206"/>
    </row>
    <row r="9" spans="1:55" ht="14.25" customHeight="1">
      <c r="A9" s="53"/>
      <c r="B9" s="179"/>
      <c r="C9" s="1321"/>
      <c r="D9" s="1321"/>
      <c r="E9" s="1321"/>
      <c r="F9" s="467"/>
      <c r="G9" s="467"/>
      <c r="H9" s="4"/>
      <c r="I9" s="4"/>
      <c r="J9" s="4"/>
      <c r="K9" s="4"/>
      <c r="L9" s="4"/>
      <c r="M9" s="4"/>
      <c r="N9" s="205"/>
      <c r="O9" s="205"/>
      <c r="P9" s="205"/>
      <c r="Q9" s="4"/>
      <c r="R9" s="37"/>
      <c r="S9" s="37"/>
      <c r="T9" s="37"/>
      <c r="U9" s="37"/>
      <c r="V9" s="37"/>
      <c r="W9" s="110"/>
      <c r="X9" s="110"/>
      <c r="Y9" s="235"/>
      <c r="Z9" s="177"/>
      <c r="AA9" s="476"/>
      <c r="AB9" s="476"/>
      <c r="AC9" s="486" t="s">
        <v>244</v>
      </c>
      <c r="AD9" s="487" t="s">
        <v>310</v>
      </c>
      <c r="AE9" s="487" t="s">
        <v>316</v>
      </c>
      <c r="AF9" s="487" t="s">
        <v>318</v>
      </c>
      <c r="AG9" s="487" t="s">
        <v>329</v>
      </c>
      <c r="AH9" s="488" t="s">
        <v>380</v>
      </c>
      <c r="AI9" s="488" t="s">
        <v>386</v>
      </c>
      <c r="AJ9" s="488" t="s">
        <v>333</v>
      </c>
      <c r="AK9" s="488" t="s">
        <v>339</v>
      </c>
      <c r="AL9" s="488" t="s">
        <v>343</v>
      </c>
      <c r="AM9" s="488" t="s">
        <v>349</v>
      </c>
      <c r="AN9" s="1199"/>
      <c r="AO9" s="482"/>
      <c r="AP9" s="482"/>
      <c r="AQ9" s="482"/>
      <c r="AR9" s="482"/>
      <c r="AS9" s="482"/>
      <c r="AT9" s="482"/>
      <c r="AU9" s="482"/>
      <c r="AV9" s="482"/>
      <c r="AW9" s="482"/>
      <c r="AX9" s="482"/>
      <c r="AY9" s="482"/>
      <c r="AZ9" s="482"/>
      <c r="BA9" s="1207"/>
      <c r="BB9" s="1208"/>
      <c r="BC9" s="1209"/>
    </row>
    <row r="10" spans="1:55" ht="14.25" customHeight="1">
      <c r="A10" s="53"/>
      <c r="B10" s="1244" t="s">
        <v>147</v>
      </c>
      <c r="C10" s="1323" t="s">
        <v>154</v>
      </c>
      <c r="D10" s="1324"/>
      <c r="E10" s="378" t="s">
        <v>236</v>
      </c>
      <c r="F10" s="33"/>
      <c r="G10" s="1298" t="s">
        <v>245</v>
      </c>
      <c r="H10" s="1298"/>
      <c r="I10" s="1298"/>
      <c r="J10" s="1298"/>
      <c r="K10" s="33"/>
      <c r="L10" s="33"/>
      <c r="M10" s="33"/>
      <c r="N10" s="33"/>
      <c r="O10" s="33"/>
      <c r="P10" s="33"/>
      <c r="Q10" s="33"/>
      <c r="R10" s="33"/>
      <c r="S10" s="33"/>
      <c r="T10" s="33"/>
      <c r="U10" s="37"/>
      <c r="V10" s="37"/>
      <c r="W10" s="110"/>
      <c r="X10" s="110"/>
      <c r="Y10" s="235"/>
      <c r="Z10" s="177"/>
      <c r="AA10" s="1210" t="s">
        <v>681</v>
      </c>
      <c r="AB10" s="1210"/>
      <c r="AC10" s="1210"/>
      <c r="AD10" s="1210"/>
      <c r="AE10" s="1210"/>
      <c r="AF10" s="1210"/>
      <c r="AG10" s="1210"/>
      <c r="AH10" s="1210"/>
      <c r="AI10" s="1210"/>
      <c r="AJ10" s="1210"/>
      <c r="AK10" s="1210"/>
      <c r="AL10" s="1210"/>
      <c r="AM10" s="1210"/>
      <c r="AN10" s="493"/>
      <c r="AO10" s="477" t="s">
        <v>401</v>
      </c>
      <c r="AP10" s="145" t="s">
        <v>244</v>
      </c>
      <c r="AQ10" s="146" t="s">
        <v>310</v>
      </c>
      <c r="AR10" s="146" t="s">
        <v>316</v>
      </c>
      <c r="AS10" s="146" t="s">
        <v>318</v>
      </c>
      <c r="AT10" s="146" t="s">
        <v>329</v>
      </c>
      <c r="AU10" s="145" t="s">
        <v>319</v>
      </c>
      <c r="AV10" s="145" t="s">
        <v>330</v>
      </c>
      <c r="AW10" s="145" t="s">
        <v>333</v>
      </c>
      <c r="AX10" s="145" t="s">
        <v>339</v>
      </c>
      <c r="AY10" s="145" t="s">
        <v>343</v>
      </c>
      <c r="AZ10" s="145" t="s">
        <v>349</v>
      </c>
      <c r="BA10" s="1203" t="s">
        <v>606</v>
      </c>
      <c r="BB10" s="1203"/>
      <c r="BC10" s="1203"/>
    </row>
    <row r="11" spans="1:55" ht="14.25" customHeight="1">
      <c r="A11" s="53"/>
      <c r="B11" s="1245"/>
      <c r="C11" s="1325"/>
      <c r="D11" s="1326"/>
      <c r="E11" s="379" t="s">
        <v>43</v>
      </c>
      <c r="F11" s="33"/>
      <c r="G11" s="12"/>
      <c r="H11" s="12"/>
      <c r="I11" s="33"/>
      <c r="J11" s="122" t="s">
        <v>236</v>
      </c>
      <c r="K11" s="12"/>
      <c r="L11" s="215"/>
      <c r="M11" s="12"/>
      <c r="N11" s="12"/>
      <c r="O11" s="12"/>
      <c r="P11" s="12"/>
      <c r="Q11" s="12"/>
      <c r="R11" s="53"/>
      <c r="S11" s="53"/>
      <c r="T11" s="53"/>
      <c r="U11" s="37"/>
      <c r="V11" s="37"/>
      <c r="W11" s="110"/>
      <c r="X11" s="110"/>
      <c r="Y11" s="235"/>
      <c r="Z11" s="177"/>
      <c r="AA11" s="144"/>
      <c r="AN11" s="493"/>
      <c r="AO11" s="477"/>
      <c r="AP11" s="145" t="s">
        <v>43</v>
      </c>
      <c r="AQ11" s="145" t="s">
        <v>43</v>
      </c>
      <c r="AR11" s="145" t="s">
        <v>43</v>
      </c>
      <c r="AS11" s="145" t="s">
        <v>43</v>
      </c>
      <c r="AT11" s="145" t="s">
        <v>43</v>
      </c>
      <c r="AU11" s="145" t="s">
        <v>43</v>
      </c>
      <c r="AV11" s="145" t="s">
        <v>43</v>
      </c>
      <c r="AW11" s="145" t="s">
        <v>43</v>
      </c>
      <c r="AX11" s="145" t="s">
        <v>43</v>
      </c>
      <c r="AY11" s="145" t="s">
        <v>43</v>
      </c>
      <c r="AZ11" s="145" t="s">
        <v>43</v>
      </c>
      <c r="BA11" s="480" t="s">
        <v>404</v>
      </c>
      <c r="BB11" s="480" t="s">
        <v>409</v>
      </c>
      <c r="BC11" s="480" t="s">
        <v>418</v>
      </c>
    </row>
    <row r="12" spans="1:55" ht="14.25" customHeight="1">
      <c r="A12" s="53"/>
      <c r="B12" s="688">
        <v>0.15</v>
      </c>
      <c r="C12" s="494" t="str">
        <f aca="true" t="shared" si="0" ref="C12:C32">AA12</f>
        <v>APPLE</v>
      </c>
      <c r="D12" s="285" t="str">
        <f aca="true" t="shared" si="1" ref="D12:D32">AB12</f>
        <v>EATING</v>
      </c>
      <c r="E12" s="537"/>
      <c r="F12" s="33"/>
      <c r="G12" s="12"/>
      <c r="H12" s="1139" t="s">
        <v>266</v>
      </c>
      <c r="I12" s="1139"/>
      <c r="J12" s="608">
        <v>620</v>
      </c>
      <c r="K12" s="1220" t="str">
        <f>"g, add to "&amp;ROUND((375*J12)/(R12-1000)-0.58*J12,-1)&amp;"ml hot water to obtain "&amp;ROUND(W12,-1)&amp;"ml of sugar syrup with an S.G. of approx."</f>
        <v>g, add to 420ml hot water to obtain 780ml of sugar syrup with an S.G. of approx.</v>
      </c>
      <c r="L12" s="1220"/>
      <c r="M12" s="1220"/>
      <c r="N12" s="1220"/>
      <c r="O12" s="1220"/>
      <c r="P12" s="1220"/>
      <c r="Q12" s="1220"/>
      <c r="R12" s="609">
        <v>1300</v>
      </c>
      <c r="S12" s="1139" t="s">
        <v>348</v>
      </c>
      <c r="T12" s="1139"/>
      <c r="U12" s="37"/>
      <c r="V12" s="37"/>
      <c r="W12" s="199">
        <f>375*(J12)/(R12-1000)</f>
        <v>775</v>
      </c>
      <c r="X12" s="110"/>
      <c r="Y12" s="235"/>
      <c r="Z12" s="177"/>
      <c r="AA12" s="620" t="s">
        <v>155</v>
      </c>
      <c r="AB12" s="621" t="s">
        <v>593</v>
      </c>
      <c r="AC12" s="622">
        <v>10.4</v>
      </c>
      <c r="AD12" s="622">
        <v>0.7</v>
      </c>
      <c r="AE12" s="622">
        <v>0.08</v>
      </c>
      <c r="AF12" s="623">
        <v>13</v>
      </c>
      <c r="AG12" s="622">
        <v>0.8</v>
      </c>
      <c r="AH12" s="622">
        <v>40</v>
      </c>
      <c r="AI12" s="622">
        <v>107</v>
      </c>
      <c r="AJ12" s="622">
        <v>0.02</v>
      </c>
      <c r="AK12" s="622">
        <v>0.09</v>
      </c>
      <c r="AL12" s="622">
        <f>0.084/1.38</f>
        <v>0.060869565217391314</v>
      </c>
      <c r="AM12" s="622">
        <v>0.04</v>
      </c>
      <c r="AN12" s="150" t="s">
        <v>396</v>
      </c>
      <c r="AO12" s="480">
        <f aca="true" t="shared" si="2" ref="AO12:AO32">B12*E12</f>
        <v>0</v>
      </c>
      <c r="AP12" s="143">
        <f>E12*AC13/100</f>
        <v>0</v>
      </c>
      <c r="AQ12" s="154">
        <f>E12*AD13/100</f>
        <v>0</v>
      </c>
      <c r="AR12" s="154">
        <f>E12*AE13/100</f>
        <v>0</v>
      </c>
      <c r="AS12" s="154">
        <f>E12*(AF13-AC13)/100</f>
        <v>0</v>
      </c>
      <c r="AT12" s="154">
        <f>E12*AG13/1200</f>
        <v>0</v>
      </c>
      <c r="AU12" s="143">
        <f aca="true" t="shared" si="3" ref="AU12:AZ12">$E12*AH13/100</f>
        <v>0</v>
      </c>
      <c r="AV12" s="143">
        <f t="shared" si="3"/>
        <v>0</v>
      </c>
      <c r="AW12" s="143">
        <f t="shared" si="3"/>
        <v>0</v>
      </c>
      <c r="AX12" s="143">
        <f t="shared" si="3"/>
        <v>0</v>
      </c>
      <c r="AY12" s="143">
        <f t="shared" si="3"/>
        <v>0</v>
      </c>
      <c r="AZ12" s="143">
        <f t="shared" si="3"/>
        <v>0</v>
      </c>
      <c r="BA12" s="640">
        <v>0.5</v>
      </c>
      <c r="BB12" s="484">
        <f aca="true" t="shared" si="4" ref="BB12:BB32">$BA12*0.853</f>
        <v>0.4265</v>
      </c>
      <c r="BC12" s="484">
        <f aca="true" t="shared" si="5" ref="BC12:BC32">$BA12*0.893</f>
        <v>0.4465</v>
      </c>
    </row>
    <row r="13" spans="1:55" ht="14.25" customHeight="1">
      <c r="A13" s="53"/>
      <c r="B13" s="688">
        <v>0.15</v>
      </c>
      <c r="C13" s="494" t="str">
        <f t="shared" si="0"/>
        <v>     "</v>
      </c>
      <c r="D13" s="285" t="str">
        <f t="shared" si="1"/>
        <v>COOKING</v>
      </c>
      <c r="E13" s="537"/>
      <c r="F13" s="33"/>
      <c r="G13" s="12"/>
      <c r="H13" s="1150" t="s">
        <v>267</v>
      </c>
      <c r="I13" s="1150"/>
      <c r="J13" s="608"/>
      <c r="K13" s="1219" t="str">
        <f>"g = "&amp;FIXED(J13/4.5)&amp;" tsp OR calcium carbonate (precipitated chalk) for acid reduction"</f>
        <v>g = 0.00 tsp OR calcium carbonate (precipitated chalk) for acid reduction</v>
      </c>
      <c r="L13" s="1219"/>
      <c r="M13" s="1219"/>
      <c r="N13" s="1219"/>
      <c r="O13" s="1219"/>
      <c r="P13" s="1219"/>
      <c r="Q13" s="1219"/>
      <c r="R13" s="1219"/>
      <c r="S13" s="1219"/>
      <c r="T13" s="1219"/>
      <c r="U13" s="37"/>
      <c r="V13" s="37"/>
      <c r="W13" s="110"/>
      <c r="X13" s="110"/>
      <c r="Y13" s="235"/>
      <c r="Z13" s="177"/>
      <c r="AA13" s="620" t="s">
        <v>596</v>
      </c>
      <c r="AB13" s="621" t="s">
        <v>679</v>
      </c>
      <c r="AC13" s="622">
        <v>9</v>
      </c>
      <c r="AD13" s="622">
        <v>1.2</v>
      </c>
      <c r="AE13" s="622">
        <v>0.08</v>
      </c>
      <c r="AF13" s="623">
        <v>13</v>
      </c>
      <c r="AG13" s="622">
        <v>0.8</v>
      </c>
      <c r="AH13" s="622">
        <v>40</v>
      </c>
      <c r="AI13" s="622">
        <v>107</v>
      </c>
      <c r="AJ13" s="622">
        <v>0.02</v>
      </c>
      <c r="AK13" s="622">
        <v>0.09</v>
      </c>
      <c r="AL13" s="622">
        <f>0.084/1.38</f>
        <v>0.060869565217391314</v>
      </c>
      <c r="AM13" s="622">
        <v>0.04</v>
      </c>
      <c r="AN13" s="150" t="s">
        <v>396</v>
      </c>
      <c r="AO13" s="480">
        <f t="shared" si="2"/>
        <v>0</v>
      </c>
      <c r="AP13" s="143">
        <f>E13*AC12/100</f>
        <v>0</v>
      </c>
      <c r="AQ13" s="154">
        <f>E13*AD12/100</f>
        <v>0</v>
      </c>
      <c r="AR13" s="154">
        <f>E13*AE12/100</f>
        <v>0</v>
      </c>
      <c r="AS13" s="154">
        <f>E13*(AF12-AC12)/100</f>
        <v>0</v>
      </c>
      <c r="AT13" s="154">
        <f>E13*AG12/1200</f>
        <v>0</v>
      </c>
      <c r="AU13" s="143">
        <f aca="true" t="shared" si="6" ref="AU13:AZ13">$E13*AH12/100</f>
        <v>0</v>
      </c>
      <c r="AV13" s="143">
        <f t="shared" si="6"/>
        <v>0</v>
      </c>
      <c r="AW13" s="143">
        <f t="shared" si="6"/>
        <v>0</v>
      </c>
      <c r="AX13" s="143">
        <f t="shared" si="6"/>
        <v>0</v>
      </c>
      <c r="AY13" s="143">
        <f t="shared" si="6"/>
        <v>0</v>
      </c>
      <c r="AZ13" s="143">
        <f t="shared" si="6"/>
        <v>0</v>
      </c>
      <c r="BA13" s="640">
        <f aca="true" t="shared" si="7" ref="BA13:BA32">BA12+0.5</f>
        <v>1</v>
      </c>
      <c r="BB13" s="484">
        <f t="shared" si="4"/>
        <v>0.853</v>
      </c>
      <c r="BC13" s="484">
        <f t="shared" si="5"/>
        <v>0.893</v>
      </c>
    </row>
    <row r="14" spans="1:55" ht="14.25" customHeight="1">
      <c r="A14" s="53"/>
      <c r="B14" s="688">
        <v>0.18</v>
      </c>
      <c r="C14" s="494" t="str">
        <f t="shared" si="0"/>
        <v>     "</v>
      </c>
      <c r="D14" s="285" t="str">
        <f t="shared" si="1"/>
        <v>CRAB</v>
      </c>
      <c r="E14" s="537"/>
      <c r="F14" s="33"/>
      <c r="G14" s="12"/>
      <c r="H14" s="1150" t="s">
        <v>268</v>
      </c>
      <c r="I14" s="1150"/>
      <c r="J14" s="608"/>
      <c r="K14" s="1219" t="str">
        <f>"g = "&amp;FIXED(J14/5)&amp;" tsp TARTARIC"</f>
        <v>g = 0.00 tsp TARTARIC</v>
      </c>
      <c r="L14" s="1219"/>
      <c r="M14" s="1219"/>
      <c r="N14" s="1158" t="str">
        <f>"OR = "&amp;FIXED(J14/0.853)&amp;"g = "&amp;FIXED(J14/(0.853*4.9),2)&amp;" tsp CITRIC"</f>
        <v>OR = 0.00g = 0.00 tsp CITRIC</v>
      </c>
      <c r="O14" s="1158"/>
      <c r="P14" s="1158"/>
      <c r="Q14" s="1158"/>
      <c r="R14" s="53"/>
      <c r="S14" s="180"/>
      <c r="T14" s="181"/>
      <c r="U14" s="37"/>
      <c r="V14" s="37"/>
      <c r="W14" s="110"/>
      <c r="X14" s="110"/>
      <c r="Y14" s="235"/>
      <c r="Z14" s="177"/>
      <c r="AA14" s="620" t="s">
        <v>596</v>
      </c>
      <c r="AB14" s="621" t="s">
        <v>227</v>
      </c>
      <c r="AC14" s="622">
        <v>7.6</v>
      </c>
      <c r="AD14" s="624">
        <v>1.3</v>
      </c>
      <c r="AE14" s="624">
        <v>0.08</v>
      </c>
      <c r="AF14" s="623">
        <v>14</v>
      </c>
      <c r="AG14" s="624">
        <v>0.8</v>
      </c>
      <c r="AH14" s="624">
        <v>40</v>
      </c>
      <c r="AI14" s="622">
        <v>194</v>
      </c>
      <c r="AJ14" s="622">
        <v>0.03</v>
      </c>
      <c r="AK14" s="622">
        <v>0.1</v>
      </c>
      <c r="AL14" s="622"/>
      <c r="AM14" s="622"/>
      <c r="AN14" s="150" t="s">
        <v>396</v>
      </c>
      <c r="AO14" s="480">
        <f t="shared" si="2"/>
        <v>0</v>
      </c>
      <c r="AP14" s="143">
        <f aca="true" t="shared" si="8" ref="AP14:AP31">E14*AC14/100</f>
        <v>0</v>
      </c>
      <c r="AQ14" s="154">
        <f aca="true" t="shared" si="9" ref="AQ14:AQ31">E14*AD14/100</f>
        <v>0</v>
      </c>
      <c r="AR14" s="154">
        <f aca="true" t="shared" si="10" ref="AR14:AR31">E14*AE14/100</f>
        <v>0</v>
      </c>
      <c r="AS14" s="154">
        <f aca="true" t="shared" si="11" ref="AS14:AS31">E14*(AF14-AC14)/100</f>
        <v>0</v>
      </c>
      <c r="AT14" s="154">
        <f aca="true" t="shared" si="12" ref="AT14:AT31">E14*AG14/1200</f>
        <v>0</v>
      </c>
      <c r="AU14" s="143">
        <f aca="true" t="shared" si="13" ref="AU14:AU31">$E14*AH14/100</f>
        <v>0</v>
      </c>
      <c r="AV14" s="143">
        <f aca="true" t="shared" si="14" ref="AV14:AV31">$E14*AI14/100</f>
        <v>0</v>
      </c>
      <c r="AW14" s="143">
        <f aca="true" t="shared" si="15" ref="AW14:AW31">$E14*AJ14/100</f>
        <v>0</v>
      </c>
      <c r="AX14" s="143">
        <f aca="true" t="shared" si="16" ref="AX14:AX31">$E14*AK14/100</f>
        <v>0</v>
      </c>
      <c r="AY14" s="143">
        <f aca="true" t="shared" si="17" ref="AY14:AY31">$E14*AL14/100</f>
        <v>0</v>
      </c>
      <c r="AZ14" s="143">
        <f aca="true" t="shared" si="18" ref="AZ14:AZ31">$E14*AM14/100</f>
        <v>0</v>
      </c>
      <c r="BA14" s="640">
        <f t="shared" si="7"/>
        <v>1.5</v>
      </c>
      <c r="BB14" s="484">
        <f t="shared" si="4"/>
        <v>1.2795</v>
      </c>
      <c r="BC14" s="484">
        <f t="shared" si="5"/>
        <v>1.3395000000000001</v>
      </c>
    </row>
    <row r="15" spans="1:55" ht="14.25" customHeight="1">
      <c r="A15" s="53"/>
      <c r="B15" s="688">
        <v>0.12</v>
      </c>
      <c r="C15" s="494" t="str">
        <f t="shared" si="0"/>
        <v>APRICOT</v>
      </c>
      <c r="D15" s="285" t="str">
        <f t="shared" si="1"/>
        <v>FLESH</v>
      </c>
      <c r="E15" s="537"/>
      <c r="F15" s="16"/>
      <c r="G15" s="12"/>
      <c r="H15" s="53"/>
      <c r="I15" s="16"/>
      <c r="J15" s="53"/>
      <c r="K15" s="53"/>
      <c r="L15" s="53"/>
      <c r="M15" s="16"/>
      <c r="N15" s="1158" t="str">
        <f>"OR = "&amp;FIXED(J14/0.893)&amp;"g = "&amp;FIXED(J14/(0.893*4.5),2)&amp;" tsp MALIC"</f>
        <v>OR = 0.00g = 0.00 tsp MALIC</v>
      </c>
      <c r="O15" s="1158"/>
      <c r="P15" s="1158"/>
      <c r="Q15" s="1158"/>
      <c r="R15" s="53"/>
      <c r="S15" s="180"/>
      <c r="T15" s="181"/>
      <c r="U15" s="53"/>
      <c r="V15" s="53"/>
      <c r="W15" s="144"/>
      <c r="X15" s="144"/>
      <c r="Y15" s="797"/>
      <c r="Z15" s="232"/>
      <c r="AA15" s="620" t="s">
        <v>156</v>
      </c>
      <c r="AB15" s="621" t="s">
        <v>228</v>
      </c>
      <c r="AC15" s="622">
        <v>9.24</v>
      </c>
      <c r="AD15" s="622">
        <v>1.2</v>
      </c>
      <c r="AE15" s="622">
        <v>0.1</v>
      </c>
      <c r="AF15" s="623">
        <v>11</v>
      </c>
      <c r="AG15" s="624">
        <v>0.3</v>
      </c>
      <c r="AH15" s="622">
        <v>90</v>
      </c>
      <c r="AI15" s="622">
        <v>260</v>
      </c>
      <c r="AJ15" s="622">
        <v>0.03</v>
      </c>
      <c r="AK15" s="622">
        <v>0.6</v>
      </c>
      <c r="AL15" s="622">
        <v>0.24</v>
      </c>
      <c r="AM15" s="622">
        <v>0.054</v>
      </c>
      <c r="AN15" s="150" t="s">
        <v>396</v>
      </c>
      <c r="AO15" s="480">
        <f t="shared" si="2"/>
        <v>0</v>
      </c>
      <c r="AP15" s="143">
        <f t="shared" si="8"/>
        <v>0</v>
      </c>
      <c r="AQ15" s="154">
        <f t="shared" si="9"/>
        <v>0</v>
      </c>
      <c r="AR15" s="154">
        <f t="shared" si="10"/>
        <v>0</v>
      </c>
      <c r="AS15" s="154">
        <f t="shared" si="11"/>
        <v>0</v>
      </c>
      <c r="AT15" s="154">
        <f t="shared" si="12"/>
        <v>0</v>
      </c>
      <c r="AU15" s="143">
        <f t="shared" si="13"/>
        <v>0</v>
      </c>
      <c r="AV15" s="143">
        <f t="shared" si="14"/>
        <v>0</v>
      </c>
      <c r="AW15" s="143">
        <f t="shared" si="15"/>
        <v>0</v>
      </c>
      <c r="AX15" s="143">
        <f t="shared" si="16"/>
        <v>0</v>
      </c>
      <c r="AY15" s="143">
        <f t="shared" si="17"/>
        <v>0</v>
      </c>
      <c r="AZ15" s="143">
        <f t="shared" si="18"/>
        <v>0</v>
      </c>
      <c r="BA15" s="640">
        <f t="shared" si="7"/>
        <v>2</v>
      </c>
      <c r="BB15" s="484">
        <f t="shared" si="4"/>
        <v>1.706</v>
      </c>
      <c r="BC15" s="484">
        <f t="shared" si="5"/>
        <v>1.786</v>
      </c>
    </row>
    <row r="16" spans="1:55" ht="14.25" customHeight="1">
      <c r="A16" s="53"/>
      <c r="B16" s="688">
        <v>0.74</v>
      </c>
      <c r="C16" s="494" t="str">
        <f t="shared" si="0"/>
        <v>      "</v>
      </c>
      <c r="D16" s="285" t="str">
        <f t="shared" si="1"/>
        <v>DRIED</v>
      </c>
      <c r="E16" s="537"/>
      <c r="F16" s="16"/>
      <c r="G16" s="12"/>
      <c r="H16" s="12"/>
      <c r="I16" s="16"/>
      <c r="J16" s="12"/>
      <c r="K16" s="12"/>
      <c r="L16" s="12"/>
      <c r="M16" s="16"/>
      <c r="N16" s="1158" t="str">
        <f>"OR = "&amp;FIXED(J14/(0.92))&amp;"g = "&amp;FIXED(J14/(0.92*4.5),2)&amp;" tsp ACID BLEND"</f>
        <v>OR = 0.00g = 0.00 tsp ACID BLEND</v>
      </c>
      <c r="O16" s="1158"/>
      <c r="P16" s="1158"/>
      <c r="Q16" s="1158"/>
      <c r="R16" s="53"/>
      <c r="S16" s="182"/>
      <c r="T16" s="12"/>
      <c r="U16" s="250"/>
      <c r="V16" s="250"/>
      <c r="W16" s="144"/>
      <c r="X16" s="144"/>
      <c r="Y16" s="797"/>
      <c r="Z16" s="232"/>
      <c r="AA16" s="620" t="s">
        <v>597</v>
      </c>
      <c r="AB16" s="621" t="s">
        <v>229</v>
      </c>
      <c r="AC16" s="622">
        <v>42</v>
      </c>
      <c r="AD16" s="622">
        <v>3.6</v>
      </c>
      <c r="AE16" s="624">
        <v>0.3</v>
      </c>
      <c r="AF16" s="623">
        <v>63</v>
      </c>
      <c r="AG16" s="624">
        <v>2</v>
      </c>
      <c r="AH16" s="622">
        <v>540</v>
      </c>
      <c r="AI16" s="622">
        <v>1800</v>
      </c>
      <c r="AJ16" s="622">
        <v>0.015</v>
      </c>
      <c r="AK16" s="622">
        <v>2.59</v>
      </c>
      <c r="AL16" s="622">
        <v>0.516</v>
      </c>
      <c r="AM16" s="622">
        <v>0.143</v>
      </c>
      <c r="AN16" s="150" t="s">
        <v>396</v>
      </c>
      <c r="AO16" s="480">
        <f t="shared" si="2"/>
        <v>0</v>
      </c>
      <c r="AP16" s="143">
        <f t="shared" si="8"/>
        <v>0</v>
      </c>
      <c r="AQ16" s="154">
        <f t="shared" si="9"/>
        <v>0</v>
      </c>
      <c r="AR16" s="154">
        <f t="shared" si="10"/>
        <v>0</v>
      </c>
      <c r="AS16" s="154">
        <f t="shared" si="11"/>
        <v>0</v>
      </c>
      <c r="AT16" s="154">
        <f t="shared" si="12"/>
        <v>0</v>
      </c>
      <c r="AU16" s="143">
        <f t="shared" si="13"/>
        <v>0</v>
      </c>
      <c r="AV16" s="143">
        <f t="shared" si="14"/>
        <v>0</v>
      </c>
      <c r="AW16" s="143">
        <f t="shared" si="15"/>
        <v>0</v>
      </c>
      <c r="AX16" s="143">
        <f t="shared" si="16"/>
        <v>0</v>
      </c>
      <c r="AY16" s="143">
        <f t="shared" si="17"/>
        <v>0</v>
      </c>
      <c r="AZ16" s="143">
        <f t="shared" si="18"/>
        <v>0</v>
      </c>
      <c r="BA16" s="640">
        <f t="shared" si="7"/>
        <v>2.5</v>
      </c>
      <c r="BB16" s="484">
        <f t="shared" si="4"/>
        <v>2.1325</v>
      </c>
      <c r="BC16" s="484">
        <f t="shared" si="5"/>
        <v>2.2325</v>
      </c>
    </row>
    <row r="17" spans="1:55" ht="14.25" customHeight="1">
      <c r="A17" s="53"/>
      <c r="B17" s="688">
        <v>0.15</v>
      </c>
      <c r="C17" s="494" t="str">
        <f t="shared" si="0"/>
        <v>BANANA</v>
      </c>
      <c r="D17" s="285" t="str">
        <f t="shared" si="1"/>
        <v>FLESH</v>
      </c>
      <c r="E17" s="537"/>
      <c r="F17" s="16"/>
      <c r="G17" s="12"/>
      <c r="H17" s="12"/>
      <c r="I17" s="12"/>
      <c r="J17" s="12"/>
      <c r="K17" s="12"/>
      <c r="L17" s="12"/>
      <c r="M17" s="12"/>
      <c r="N17" s="12"/>
      <c r="O17" s="12"/>
      <c r="P17" s="12"/>
      <c r="Q17" s="53"/>
      <c r="R17" s="182"/>
      <c r="S17" s="12"/>
      <c r="T17" s="12"/>
      <c r="U17" s="181"/>
      <c r="V17" s="181"/>
      <c r="W17" s="144"/>
      <c r="X17" s="144"/>
      <c r="Y17" s="797"/>
      <c r="Z17" s="232"/>
      <c r="AA17" s="620" t="s">
        <v>157</v>
      </c>
      <c r="AB17" s="625" t="s">
        <v>228</v>
      </c>
      <c r="AC17" s="622">
        <v>18</v>
      </c>
      <c r="AD17" s="622">
        <v>0.35</v>
      </c>
      <c r="AE17" s="622">
        <v>0.1</v>
      </c>
      <c r="AF17" s="623">
        <v>22</v>
      </c>
      <c r="AG17" s="622">
        <v>0.6</v>
      </c>
      <c r="AH17" s="622">
        <v>200</v>
      </c>
      <c r="AI17" s="622">
        <v>350</v>
      </c>
      <c r="AJ17" s="622">
        <v>0.031</v>
      </c>
      <c r="AK17" s="622">
        <v>0.665</v>
      </c>
      <c r="AL17" s="622">
        <v>0.334</v>
      </c>
      <c r="AM17" s="622">
        <v>0.367</v>
      </c>
      <c r="AN17" s="150" t="s">
        <v>396</v>
      </c>
      <c r="AO17" s="480">
        <f t="shared" si="2"/>
        <v>0</v>
      </c>
      <c r="AP17" s="143">
        <f t="shared" si="8"/>
        <v>0</v>
      </c>
      <c r="AQ17" s="154">
        <f t="shared" si="9"/>
        <v>0</v>
      </c>
      <c r="AR17" s="154">
        <f t="shared" si="10"/>
        <v>0</v>
      </c>
      <c r="AS17" s="154">
        <f t="shared" si="11"/>
        <v>0</v>
      </c>
      <c r="AT17" s="154">
        <f t="shared" si="12"/>
        <v>0</v>
      </c>
      <c r="AU17" s="143">
        <f t="shared" si="13"/>
        <v>0</v>
      </c>
      <c r="AV17" s="143">
        <f t="shared" si="14"/>
        <v>0</v>
      </c>
      <c r="AW17" s="143">
        <f t="shared" si="15"/>
        <v>0</v>
      </c>
      <c r="AX17" s="143">
        <f t="shared" si="16"/>
        <v>0</v>
      </c>
      <c r="AY17" s="143">
        <f t="shared" si="17"/>
        <v>0</v>
      </c>
      <c r="AZ17" s="143">
        <f t="shared" si="18"/>
        <v>0</v>
      </c>
      <c r="BA17" s="640">
        <f t="shared" si="7"/>
        <v>3</v>
      </c>
      <c r="BB17" s="484">
        <f t="shared" si="4"/>
        <v>2.559</v>
      </c>
      <c r="BC17" s="484">
        <f t="shared" si="5"/>
        <v>2.6790000000000003</v>
      </c>
    </row>
    <row r="18" spans="1:55" ht="14.25" customHeight="1">
      <c r="A18" s="53"/>
      <c r="B18" s="688">
        <v>0.95</v>
      </c>
      <c r="C18" s="494" t="str">
        <f t="shared" si="0"/>
        <v>      "</v>
      </c>
      <c r="D18" s="285" t="str">
        <f t="shared" si="1"/>
        <v>DRIED</v>
      </c>
      <c r="E18" s="537"/>
      <c r="F18" s="16"/>
      <c r="G18" s="12"/>
      <c r="H18" s="1150" t="s">
        <v>269</v>
      </c>
      <c r="I18" s="1150"/>
      <c r="J18" s="608"/>
      <c r="K18" s="1219" t="str">
        <f>"g = "&amp;FIXED(J18/2.8)&amp;" tsp POWDER"</f>
        <v>g = 0.00 tsp POWDER</v>
      </c>
      <c r="L18" s="1219"/>
      <c r="M18" s="1219"/>
      <c r="N18" s="1158" t="str">
        <f>"OR = "&amp;FIXED((J18/2.8)*4.5*5,1)&amp;"g = "&amp;FIXED((J18/2.8)*4.5,1)&amp;" tsp LIQUID TANNIN"</f>
        <v>OR = 0.0g = 0.0 tsp LIQUID TANNIN</v>
      </c>
      <c r="O18" s="1158"/>
      <c r="P18" s="1158"/>
      <c r="Q18" s="1158"/>
      <c r="R18" s="1158"/>
      <c r="S18" s="1158"/>
      <c r="T18" s="182"/>
      <c r="U18" s="181"/>
      <c r="V18" s="181"/>
      <c r="W18" s="144"/>
      <c r="X18" s="144"/>
      <c r="Y18" s="797"/>
      <c r="Z18" s="232"/>
      <c r="AA18" s="620" t="s">
        <v>597</v>
      </c>
      <c r="AB18" s="621" t="s">
        <v>229</v>
      </c>
      <c r="AC18" s="622">
        <v>60</v>
      </c>
      <c r="AD18" s="622">
        <v>1</v>
      </c>
      <c r="AE18" s="624">
        <v>0.3</v>
      </c>
      <c r="AF18" s="623">
        <v>88</v>
      </c>
      <c r="AG18" s="624">
        <v>1.8</v>
      </c>
      <c r="AH18" s="622">
        <v>800</v>
      </c>
      <c r="AI18" s="622">
        <v>1400</v>
      </c>
      <c r="AJ18" s="622">
        <v>0.18</v>
      </c>
      <c r="AK18" s="622">
        <v>2.8</v>
      </c>
      <c r="AL18" s="624">
        <v>1.2</v>
      </c>
      <c r="AM18" s="622">
        <v>0.44</v>
      </c>
      <c r="AN18" s="150" t="s">
        <v>396</v>
      </c>
      <c r="AO18" s="480">
        <f t="shared" si="2"/>
        <v>0</v>
      </c>
      <c r="AP18" s="143">
        <f t="shared" si="8"/>
        <v>0</v>
      </c>
      <c r="AQ18" s="154">
        <f t="shared" si="9"/>
        <v>0</v>
      </c>
      <c r="AR18" s="154">
        <f t="shared" si="10"/>
        <v>0</v>
      </c>
      <c r="AS18" s="154">
        <f t="shared" si="11"/>
        <v>0</v>
      </c>
      <c r="AT18" s="154">
        <f t="shared" si="12"/>
        <v>0</v>
      </c>
      <c r="AU18" s="143">
        <f t="shared" si="13"/>
        <v>0</v>
      </c>
      <c r="AV18" s="143">
        <f t="shared" si="14"/>
        <v>0</v>
      </c>
      <c r="AW18" s="143">
        <f t="shared" si="15"/>
        <v>0</v>
      </c>
      <c r="AX18" s="143">
        <f t="shared" si="16"/>
        <v>0</v>
      </c>
      <c r="AY18" s="143">
        <f t="shared" si="17"/>
        <v>0</v>
      </c>
      <c r="AZ18" s="143">
        <f t="shared" si="18"/>
        <v>0</v>
      </c>
      <c r="BA18" s="640">
        <f t="shared" si="7"/>
        <v>3.5</v>
      </c>
      <c r="BB18" s="484">
        <f t="shared" si="4"/>
        <v>2.9855</v>
      </c>
      <c r="BC18" s="484">
        <f t="shared" si="5"/>
        <v>3.1255</v>
      </c>
    </row>
    <row r="19" spans="1:55" ht="14.25" customHeight="1">
      <c r="A19" s="53"/>
      <c r="B19" s="688">
        <v>0.13</v>
      </c>
      <c r="C19" s="494" t="str">
        <f t="shared" si="0"/>
        <v>BILBERRY</v>
      </c>
      <c r="D19" s="285" t="str">
        <f t="shared" si="1"/>
        <v>-</v>
      </c>
      <c r="E19" s="537"/>
      <c r="F19" s="16"/>
      <c r="G19" s="12"/>
      <c r="H19" s="1296" t="s">
        <v>616</v>
      </c>
      <c r="I19" s="1297"/>
      <c r="J19" s="1297"/>
      <c r="K19" s="1297"/>
      <c r="L19" s="1297"/>
      <c r="M19" s="1297"/>
      <c r="N19" s="1158" t="str">
        <f>"OR = "&amp;FIXED(J18/0.216,1)&amp;" tea bag(s) OR = "&amp;FIXED((J18/0.216)*3,1)&amp;"g loose tea, mashed in a teapot"</f>
        <v>OR = 0.0 tea bag(s) OR = 0.0g loose tea, mashed in a teapot</v>
      </c>
      <c r="O19" s="1158"/>
      <c r="P19" s="1158"/>
      <c r="Q19" s="1158"/>
      <c r="R19" s="1158"/>
      <c r="S19" s="1158"/>
      <c r="T19" s="182"/>
      <c r="U19" s="181"/>
      <c r="V19" s="181"/>
      <c r="W19" s="144"/>
      <c r="X19" s="144"/>
      <c r="Y19" s="797"/>
      <c r="Z19" s="232"/>
      <c r="AA19" s="620" t="s">
        <v>158</v>
      </c>
      <c r="AB19" s="621" t="s">
        <v>595</v>
      </c>
      <c r="AC19" s="622">
        <v>6</v>
      </c>
      <c r="AD19" s="622">
        <v>0.95</v>
      </c>
      <c r="AE19" s="622">
        <v>0.15</v>
      </c>
      <c r="AF19" s="626">
        <v>12</v>
      </c>
      <c r="AG19" s="624">
        <v>0.3</v>
      </c>
      <c r="AH19" s="622">
        <v>100</v>
      </c>
      <c r="AI19" s="624">
        <v>77</v>
      </c>
      <c r="AJ19" s="624">
        <v>0.04</v>
      </c>
      <c r="AK19" s="624">
        <v>0.42</v>
      </c>
      <c r="AL19" s="624"/>
      <c r="AM19" s="624">
        <v>0.05</v>
      </c>
      <c r="AN19" s="150" t="s">
        <v>397</v>
      </c>
      <c r="AO19" s="480">
        <f t="shared" si="2"/>
        <v>0</v>
      </c>
      <c r="AP19" s="143">
        <f t="shared" si="8"/>
        <v>0</v>
      </c>
      <c r="AQ19" s="154">
        <f t="shared" si="9"/>
        <v>0</v>
      </c>
      <c r="AR19" s="154">
        <f t="shared" si="10"/>
        <v>0</v>
      </c>
      <c r="AS19" s="154">
        <f t="shared" si="11"/>
        <v>0</v>
      </c>
      <c r="AT19" s="154">
        <f t="shared" si="12"/>
        <v>0</v>
      </c>
      <c r="AU19" s="143">
        <f t="shared" si="13"/>
        <v>0</v>
      </c>
      <c r="AV19" s="143">
        <f t="shared" si="14"/>
        <v>0</v>
      </c>
      <c r="AW19" s="143">
        <f t="shared" si="15"/>
        <v>0</v>
      </c>
      <c r="AX19" s="143">
        <f t="shared" si="16"/>
        <v>0</v>
      </c>
      <c r="AY19" s="143">
        <f t="shared" si="17"/>
        <v>0</v>
      </c>
      <c r="AZ19" s="143">
        <f t="shared" si="18"/>
        <v>0</v>
      </c>
      <c r="BA19" s="640">
        <f t="shared" si="7"/>
        <v>4</v>
      </c>
      <c r="BB19" s="484">
        <f t="shared" si="4"/>
        <v>3.412</v>
      </c>
      <c r="BC19" s="484">
        <f t="shared" si="5"/>
        <v>3.572</v>
      </c>
    </row>
    <row r="20" spans="1:55" ht="14.25" customHeight="1">
      <c r="A20" s="53"/>
      <c r="B20" s="688">
        <v>0.12</v>
      </c>
      <c r="C20" s="494" t="str">
        <f t="shared" si="0"/>
        <v>BLACKBERRY</v>
      </c>
      <c r="D20" s="285" t="str">
        <f t="shared" si="1"/>
        <v>-</v>
      </c>
      <c r="E20" s="537"/>
      <c r="F20" s="16"/>
      <c r="G20" s="12"/>
      <c r="H20" s="1236" t="s">
        <v>617</v>
      </c>
      <c r="I20" s="1236"/>
      <c r="J20" s="1236"/>
      <c r="K20" s="1236"/>
      <c r="L20" s="1236"/>
      <c r="M20" s="1236"/>
      <c r="N20" s="1236"/>
      <c r="O20" s="1236"/>
      <c r="P20" s="1236"/>
      <c r="Q20" s="1236"/>
      <c r="R20" s="1236"/>
      <c r="S20" s="1236"/>
      <c r="T20" s="53"/>
      <c r="U20" s="12"/>
      <c r="V20" s="12"/>
      <c r="W20" s="144"/>
      <c r="X20" s="144"/>
      <c r="Y20" s="797"/>
      <c r="Z20" s="232"/>
      <c r="AA20" s="620" t="s">
        <v>159</v>
      </c>
      <c r="AB20" s="621" t="s">
        <v>595</v>
      </c>
      <c r="AC20" s="622">
        <v>5.5</v>
      </c>
      <c r="AD20" s="622">
        <v>1.1</v>
      </c>
      <c r="AE20" s="622">
        <v>0.3</v>
      </c>
      <c r="AF20" s="623">
        <v>9</v>
      </c>
      <c r="AG20" s="622">
        <v>0.9</v>
      </c>
      <c r="AH20" s="622">
        <v>200</v>
      </c>
      <c r="AI20" s="622">
        <v>160</v>
      </c>
      <c r="AJ20" s="622">
        <v>0.02</v>
      </c>
      <c r="AK20" s="622">
        <v>0.65</v>
      </c>
      <c r="AL20" s="622"/>
      <c r="AM20" s="622">
        <v>0.03</v>
      </c>
      <c r="AN20" s="150" t="s">
        <v>398</v>
      </c>
      <c r="AO20" s="480">
        <f t="shared" si="2"/>
        <v>0</v>
      </c>
      <c r="AP20" s="143">
        <f t="shared" si="8"/>
        <v>0</v>
      </c>
      <c r="AQ20" s="154">
        <f t="shared" si="9"/>
        <v>0</v>
      </c>
      <c r="AR20" s="154">
        <f t="shared" si="10"/>
        <v>0</v>
      </c>
      <c r="AS20" s="154">
        <f t="shared" si="11"/>
        <v>0</v>
      </c>
      <c r="AT20" s="154">
        <f t="shared" si="12"/>
        <v>0</v>
      </c>
      <c r="AU20" s="143">
        <f t="shared" si="13"/>
        <v>0</v>
      </c>
      <c r="AV20" s="143">
        <f t="shared" si="14"/>
        <v>0</v>
      </c>
      <c r="AW20" s="143">
        <f t="shared" si="15"/>
        <v>0</v>
      </c>
      <c r="AX20" s="143">
        <f t="shared" si="16"/>
        <v>0</v>
      </c>
      <c r="AY20" s="143">
        <f t="shared" si="17"/>
        <v>0</v>
      </c>
      <c r="AZ20" s="143">
        <f t="shared" si="18"/>
        <v>0</v>
      </c>
      <c r="BA20" s="640">
        <f t="shared" si="7"/>
        <v>4.5</v>
      </c>
      <c r="BB20" s="484">
        <f t="shared" si="4"/>
        <v>3.8385</v>
      </c>
      <c r="BC20" s="484">
        <f t="shared" si="5"/>
        <v>4.0185</v>
      </c>
    </row>
    <row r="21" spans="1:55" ht="14.25" customHeight="1">
      <c r="A21" s="53"/>
      <c r="B21" s="688">
        <v>0.17</v>
      </c>
      <c r="C21" s="494" t="str">
        <f t="shared" si="0"/>
        <v>BLACKCURRANT</v>
      </c>
      <c r="D21" s="285" t="str">
        <f t="shared" si="1"/>
        <v>-</v>
      </c>
      <c r="E21" s="537"/>
      <c r="F21" s="16"/>
      <c r="G21" s="12"/>
      <c r="H21" s="1299" t="s">
        <v>618</v>
      </c>
      <c r="I21" s="1299"/>
      <c r="J21" s="1299"/>
      <c r="K21" s="1299"/>
      <c r="L21" s="1299"/>
      <c r="M21" s="1299"/>
      <c r="N21" s="1299"/>
      <c r="O21" s="1299"/>
      <c r="P21" s="1299"/>
      <c r="Q21" s="1299"/>
      <c r="R21" s="1299"/>
      <c r="S21" s="1299"/>
      <c r="T21" s="53"/>
      <c r="U21" s="12"/>
      <c r="V21" s="12"/>
      <c r="W21" s="144"/>
      <c r="X21" s="144"/>
      <c r="Y21" s="797"/>
      <c r="Z21" s="232"/>
      <c r="AA21" s="620" t="s">
        <v>160</v>
      </c>
      <c r="AB21" s="621" t="s">
        <v>595</v>
      </c>
      <c r="AC21" s="622">
        <v>7</v>
      </c>
      <c r="AD21" s="622">
        <v>3.5</v>
      </c>
      <c r="AE21" s="622">
        <v>0.35</v>
      </c>
      <c r="AF21" s="623">
        <v>15</v>
      </c>
      <c r="AG21" s="622">
        <v>1.1</v>
      </c>
      <c r="AH21" s="622">
        <v>150</v>
      </c>
      <c r="AI21" s="622">
        <v>320</v>
      </c>
      <c r="AJ21" s="622">
        <v>0.05</v>
      </c>
      <c r="AK21" s="622">
        <v>0.3</v>
      </c>
      <c r="AL21" s="622">
        <v>0.4</v>
      </c>
      <c r="AM21" s="622">
        <v>0.066</v>
      </c>
      <c r="AN21" s="150" t="s">
        <v>397</v>
      </c>
      <c r="AO21" s="480">
        <f t="shared" si="2"/>
        <v>0</v>
      </c>
      <c r="AP21" s="143">
        <f t="shared" si="8"/>
        <v>0</v>
      </c>
      <c r="AQ21" s="154">
        <f t="shared" si="9"/>
        <v>0</v>
      </c>
      <c r="AR21" s="154">
        <f t="shared" si="10"/>
        <v>0</v>
      </c>
      <c r="AS21" s="154">
        <f t="shared" si="11"/>
        <v>0</v>
      </c>
      <c r="AT21" s="154">
        <f t="shared" si="12"/>
        <v>0</v>
      </c>
      <c r="AU21" s="143">
        <f t="shared" si="13"/>
        <v>0</v>
      </c>
      <c r="AV21" s="143">
        <f t="shared" si="14"/>
        <v>0</v>
      </c>
      <c r="AW21" s="143">
        <f t="shared" si="15"/>
        <v>0</v>
      </c>
      <c r="AX21" s="143">
        <f t="shared" si="16"/>
        <v>0</v>
      </c>
      <c r="AY21" s="143">
        <f t="shared" si="17"/>
        <v>0</v>
      </c>
      <c r="AZ21" s="143">
        <f t="shared" si="18"/>
        <v>0</v>
      </c>
      <c r="BA21" s="640">
        <f t="shared" si="7"/>
        <v>5</v>
      </c>
      <c r="BB21" s="484">
        <f t="shared" si="4"/>
        <v>4.265</v>
      </c>
      <c r="BC21" s="484">
        <f t="shared" si="5"/>
        <v>4.465</v>
      </c>
    </row>
    <row r="22" spans="1:55" ht="14.25" customHeight="1">
      <c r="A22" s="53"/>
      <c r="B22" s="688">
        <v>0.14</v>
      </c>
      <c r="C22" s="494" t="str">
        <f t="shared" si="0"/>
        <v>BLUEBERRY</v>
      </c>
      <c r="D22" s="285" t="str">
        <f t="shared" si="1"/>
        <v>-</v>
      </c>
      <c r="E22" s="537"/>
      <c r="F22" s="16"/>
      <c r="G22" s="16"/>
      <c r="H22" s="16"/>
      <c r="I22" s="16"/>
      <c r="J22" s="16"/>
      <c r="K22" s="16"/>
      <c r="L22" s="16"/>
      <c r="M22" s="16"/>
      <c r="N22" s="16"/>
      <c r="O22" s="16"/>
      <c r="P22" s="16"/>
      <c r="Q22" s="16"/>
      <c r="R22" s="16"/>
      <c r="S22" s="16"/>
      <c r="T22" s="16"/>
      <c r="U22" s="12"/>
      <c r="V22" s="12"/>
      <c r="W22" s="144"/>
      <c r="X22" s="144"/>
      <c r="Y22" s="797"/>
      <c r="Z22" s="232"/>
      <c r="AA22" s="620" t="s">
        <v>161</v>
      </c>
      <c r="AB22" s="621" t="s">
        <v>595</v>
      </c>
      <c r="AC22" s="622">
        <v>10</v>
      </c>
      <c r="AD22" s="622">
        <v>0.3</v>
      </c>
      <c r="AE22" s="624">
        <v>0.1</v>
      </c>
      <c r="AF22" s="623">
        <v>15</v>
      </c>
      <c r="AG22" s="624">
        <v>0.3</v>
      </c>
      <c r="AH22" s="624">
        <v>100</v>
      </c>
      <c r="AI22" s="622">
        <v>77</v>
      </c>
      <c r="AJ22" s="622">
        <v>0.04</v>
      </c>
      <c r="AK22" s="622">
        <v>0.42</v>
      </c>
      <c r="AL22" s="622"/>
      <c r="AM22" s="622">
        <v>0.05</v>
      </c>
      <c r="AN22" s="150" t="s">
        <v>397</v>
      </c>
      <c r="AO22" s="480">
        <f t="shared" si="2"/>
        <v>0</v>
      </c>
      <c r="AP22" s="143">
        <f t="shared" si="8"/>
        <v>0</v>
      </c>
      <c r="AQ22" s="154">
        <f t="shared" si="9"/>
        <v>0</v>
      </c>
      <c r="AR22" s="154">
        <f t="shared" si="10"/>
        <v>0</v>
      </c>
      <c r="AS22" s="154">
        <f t="shared" si="11"/>
        <v>0</v>
      </c>
      <c r="AT22" s="154">
        <f t="shared" si="12"/>
        <v>0</v>
      </c>
      <c r="AU22" s="143">
        <f t="shared" si="13"/>
        <v>0</v>
      </c>
      <c r="AV22" s="143">
        <f t="shared" si="14"/>
        <v>0</v>
      </c>
      <c r="AW22" s="143">
        <f t="shared" si="15"/>
        <v>0</v>
      </c>
      <c r="AX22" s="143">
        <f t="shared" si="16"/>
        <v>0</v>
      </c>
      <c r="AY22" s="143">
        <f t="shared" si="17"/>
        <v>0</v>
      </c>
      <c r="AZ22" s="143">
        <f t="shared" si="18"/>
        <v>0</v>
      </c>
      <c r="BA22" s="640">
        <f t="shared" si="7"/>
        <v>5.5</v>
      </c>
      <c r="BB22" s="484">
        <f t="shared" si="4"/>
        <v>4.6915</v>
      </c>
      <c r="BC22" s="484">
        <f t="shared" si="5"/>
        <v>4.9115</v>
      </c>
    </row>
    <row r="23" spans="1:55" ht="14.25" customHeight="1">
      <c r="A23" s="53"/>
      <c r="B23" s="688">
        <v>0.15</v>
      </c>
      <c r="C23" s="494" t="str">
        <f t="shared" si="0"/>
        <v>CHERRY</v>
      </c>
      <c r="D23" s="285" t="str">
        <f t="shared" si="1"/>
        <v>EATING</v>
      </c>
      <c r="E23" s="537"/>
      <c r="F23" s="16"/>
      <c r="G23" s="16"/>
      <c r="H23" s="1150" t="s">
        <v>270</v>
      </c>
      <c r="I23" s="1150"/>
      <c r="J23" s="1229" t="str">
        <f>"    "&amp;FIXED(((5*D7*(0.1+1.125*T25))/J60),1)&amp;"g = "&amp;FIXED(((D7*(0.1+1.125*T25))/J60),1)&amp;" tsp (approx.)"</f>
        <v>    3.5g = 0.7 tsp (approx.)</v>
      </c>
      <c r="K23" s="1229"/>
      <c r="L23" s="1229"/>
      <c r="M23" s="302"/>
      <c r="N23" s="782"/>
      <c r="O23" s="1304" t="s">
        <v>293</v>
      </c>
      <c r="P23" s="1305"/>
      <c r="Q23" s="1305"/>
      <c r="R23" s="1305"/>
      <c r="S23" s="1305"/>
      <c r="T23" s="1306"/>
      <c r="U23" s="12"/>
      <c r="V23" s="12"/>
      <c r="W23" s="783"/>
      <c r="X23" s="783"/>
      <c r="Y23" s="798"/>
      <c r="Z23" s="232"/>
      <c r="AA23" s="627" t="s">
        <v>162</v>
      </c>
      <c r="AB23" s="621" t="s">
        <v>593</v>
      </c>
      <c r="AC23" s="622">
        <v>12.5</v>
      </c>
      <c r="AD23" s="622">
        <v>0.5</v>
      </c>
      <c r="AE23" s="622">
        <v>0.1</v>
      </c>
      <c r="AF23" s="623">
        <v>16</v>
      </c>
      <c r="AG23" s="622">
        <v>0.3</v>
      </c>
      <c r="AH23" s="622">
        <v>90</v>
      </c>
      <c r="AI23" s="622">
        <v>220</v>
      </c>
      <c r="AJ23" s="622">
        <v>0.03</v>
      </c>
      <c r="AK23" s="622">
        <v>0.04</v>
      </c>
      <c r="AL23" s="622">
        <v>0.309</v>
      </c>
      <c r="AM23" s="622">
        <v>0.04</v>
      </c>
      <c r="AN23" s="150" t="s">
        <v>396</v>
      </c>
      <c r="AO23" s="480">
        <f t="shared" si="2"/>
        <v>0</v>
      </c>
      <c r="AP23" s="143">
        <f t="shared" si="8"/>
        <v>0</v>
      </c>
      <c r="AQ23" s="154">
        <f t="shared" si="9"/>
        <v>0</v>
      </c>
      <c r="AR23" s="154">
        <f t="shared" si="10"/>
        <v>0</v>
      </c>
      <c r="AS23" s="154">
        <f t="shared" si="11"/>
        <v>0</v>
      </c>
      <c r="AT23" s="154">
        <f t="shared" si="12"/>
        <v>0</v>
      </c>
      <c r="AU23" s="143">
        <f t="shared" si="13"/>
        <v>0</v>
      </c>
      <c r="AV23" s="143">
        <f t="shared" si="14"/>
        <v>0</v>
      </c>
      <c r="AW23" s="143">
        <f t="shared" si="15"/>
        <v>0</v>
      </c>
      <c r="AX23" s="143">
        <f t="shared" si="16"/>
        <v>0</v>
      </c>
      <c r="AY23" s="143">
        <f t="shared" si="17"/>
        <v>0</v>
      </c>
      <c r="AZ23" s="143">
        <f t="shared" si="18"/>
        <v>0</v>
      </c>
      <c r="BA23" s="640">
        <f t="shared" si="7"/>
        <v>6</v>
      </c>
      <c r="BB23" s="484">
        <f t="shared" si="4"/>
        <v>5.118</v>
      </c>
      <c r="BC23" s="484">
        <f t="shared" si="5"/>
        <v>5.3580000000000005</v>
      </c>
    </row>
    <row r="24" spans="1:55" ht="14.25" customHeight="1">
      <c r="A24" s="53"/>
      <c r="B24" s="688">
        <v>0.15</v>
      </c>
      <c r="C24" s="494" t="str">
        <f t="shared" si="0"/>
        <v>     "</v>
      </c>
      <c r="D24" s="285" t="str">
        <f t="shared" si="1"/>
        <v>SOUR </v>
      </c>
      <c r="E24" s="537"/>
      <c r="F24" s="16"/>
      <c r="G24" s="16"/>
      <c r="H24" s="1150" t="s">
        <v>271</v>
      </c>
      <c r="I24" s="1150"/>
      <c r="J24" s="1229" t="str">
        <f>"    "&amp;4.5*D7/4.5&amp;"g = "&amp;FIXED((D7/4.5),1)&amp;" tsp (approx.)"</f>
        <v>    4.5g = 1.0 tsp (approx.)</v>
      </c>
      <c r="K24" s="1229"/>
      <c r="L24" s="1229"/>
      <c r="M24" s="741"/>
      <c r="N24" s="782"/>
      <c r="O24" s="183" t="s">
        <v>29</v>
      </c>
      <c r="P24" s="221" t="s">
        <v>300</v>
      </c>
      <c r="Q24" s="377" t="s">
        <v>310</v>
      </c>
      <c r="R24" s="377" t="s">
        <v>316</v>
      </c>
      <c r="S24" s="377" t="s">
        <v>318</v>
      </c>
      <c r="T24" s="377" t="s">
        <v>329</v>
      </c>
      <c r="U24" s="53"/>
      <c r="V24" s="53"/>
      <c r="W24" s="29"/>
      <c r="X24" s="29"/>
      <c r="Y24" s="144"/>
      <c r="Z24" s="232"/>
      <c r="AA24" s="620" t="s">
        <v>596</v>
      </c>
      <c r="AB24" s="621" t="s">
        <v>594</v>
      </c>
      <c r="AC24" s="622">
        <v>9</v>
      </c>
      <c r="AD24" s="622">
        <v>0.7</v>
      </c>
      <c r="AE24" s="622">
        <v>0.1</v>
      </c>
      <c r="AF24" s="623">
        <v>12</v>
      </c>
      <c r="AG24" s="624">
        <v>0.3</v>
      </c>
      <c r="AH24" s="622">
        <v>90</v>
      </c>
      <c r="AI24" s="622">
        <v>173</v>
      </c>
      <c r="AJ24" s="622">
        <v>0.03</v>
      </c>
      <c r="AK24" s="622">
        <v>0.15</v>
      </c>
      <c r="AL24" s="624">
        <v>0.309</v>
      </c>
      <c r="AM24" s="622">
        <v>0.05</v>
      </c>
      <c r="AN24" s="150" t="s">
        <v>396</v>
      </c>
      <c r="AO24" s="480">
        <f t="shared" si="2"/>
        <v>0</v>
      </c>
      <c r="AP24" s="143">
        <f t="shared" si="8"/>
        <v>0</v>
      </c>
      <c r="AQ24" s="154">
        <f t="shared" si="9"/>
        <v>0</v>
      </c>
      <c r="AR24" s="154">
        <f t="shared" si="10"/>
        <v>0</v>
      </c>
      <c r="AS24" s="154">
        <f t="shared" si="11"/>
        <v>0</v>
      </c>
      <c r="AT24" s="154">
        <f t="shared" si="12"/>
        <v>0</v>
      </c>
      <c r="AU24" s="143">
        <f t="shared" si="13"/>
        <v>0</v>
      </c>
      <c r="AV24" s="143">
        <f t="shared" si="14"/>
        <v>0</v>
      </c>
      <c r="AW24" s="143">
        <f t="shared" si="15"/>
        <v>0</v>
      </c>
      <c r="AX24" s="143">
        <f t="shared" si="16"/>
        <v>0</v>
      </c>
      <c r="AY24" s="143">
        <f t="shared" si="17"/>
        <v>0</v>
      </c>
      <c r="AZ24" s="143">
        <f t="shared" si="18"/>
        <v>0</v>
      </c>
      <c r="BA24" s="640">
        <f t="shared" si="7"/>
        <v>6.5</v>
      </c>
      <c r="BB24" s="484">
        <f t="shared" si="4"/>
        <v>5.5445</v>
      </c>
      <c r="BC24" s="484">
        <f t="shared" si="5"/>
        <v>5.8045</v>
      </c>
    </row>
    <row r="25" spans="1:55" ht="14.25" customHeight="1">
      <c r="A25" s="53"/>
      <c r="B25" s="688">
        <v>0.13</v>
      </c>
      <c r="C25" s="494" t="str">
        <f t="shared" si="0"/>
        <v>CRANBERRY</v>
      </c>
      <c r="D25" s="285" t="str">
        <f t="shared" si="1"/>
        <v>-</v>
      </c>
      <c r="E25" s="537"/>
      <c r="F25" s="782"/>
      <c r="G25" s="782"/>
      <c r="H25" s="782"/>
      <c r="I25" s="782"/>
      <c r="J25" s="782"/>
      <c r="K25" s="767"/>
      <c r="L25" s="767"/>
      <c r="M25" s="782"/>
      <c r="N25" s="782"/>
      <c r="O25" s="220">
        <f>SUM(E12:E62)+SUM(E63:E91)+SUM(E94:E128)</f>
        <v>3410</v>
      </c>
      <c r="P25" s="221">
        <f>J12+AP143</f>
        <v>1006.1700000000001</v>
      </c>
      <c r="Q25" s="222">
        <f>AQ143-(J13*5/3)+J14</f>
        <v>22.803561249999998</v>
      </c>
      <c r="R25" s="223">
        <f>AR143+J18</f>
        <v>0.50501125</v>
      </c>
      <c r="S25" s="222">
        <f>AS143</f>
        <v>8.916999999999987</v>
      </c>
      <c r="T25" s="223">
        <f>AT143</f>
        <v>0.5683333333333334</v>
      </c>
      <c r="U25" s="53"/>
      <c r="V25" s="53"/>
      <c r="W25" s="29"/>
      <c r="X25" s="29"/>
      <c r="Y25" s="144"/>
      <c r="Z25" s="232"/>
      <c r="AA25" s="620" t="s">
        <v>163</v>
      </c>
      <c r="AB25" s="621" t="s">
        <v>595</v>
      </c>
      <c r="AC25" s="622">
        <v>3.8</v>
      </c>
      <c r="AD25" s="622">
        <v>3</v>
      </c>
      <c r="AE25" s="624">
        <v>0.15</v>
      </c>
      <c r="AF25" s="623">
        <v>12</v>
      </c>
      <c r="AG25" s="624">
        <v>0.8</v>
      </c>
      <c r="AH25" s="624">
        <v>90</v>
      </c>
      <c r="AI25" s="622">
        <v>85</v>
      </c>
      <c r="AJ25" s="622">
        <v>0.01</v>
      </c>
      <c r="AK25" s="622">
        <v>0.1</v>
      </c>
      <c r="AL25" s="622">
        <v>0.295</v>
      </c>
      <c r="AM25" s="622">
        <v>0.06</v>
      </c>
      <c r="AN25" s="150"/>
      <c r="AO25" s="480">
        <f t="shared" si="2"/>
        <v>0</v>
      </c>
      <c r="AP25" s="143">
        <f t="shared" si="8"/>
        <v>0</v>
      </c>
      <c r="AQ25" s="154">
        <f t="shared" si="9"/>
        <v>0</v>
      </c>
      <c r="AR25" s="154">
        <f t="shared" si="10"/>
        <v>0</v>
      </c>
      <c r="AS25" s="154">
        <f t="shared" si="11"/>
        <v>0</v>
      </c>
      <c r="AT25" s="154">
        <f t="shared" si="12"/>
        <v>0</v>
      </c>
      <c r="AU25" s="143">
        <f t="shared" si="13"/>
        <v>0</v>
      </c>
      <c r="AV25" s="143">
        <f t="shared" si="14"/>
        <v>0</v>
      </c>
      <c r="AW25" s="143">
        <f t="shared" si="15"/>
        <v>0</v>
      </c>
      <c r="AX25" s="143">
        <f t="shared" si="16"/>
        <v>0</v>
      </c>
      <c r="AY25" s="143">
        <f t="shared" si="17"/>
        <v>0</v>
      </c>
      <c r="AZ25" s="143">
        <f t="shared" si="18"/>
        <v>0</v>
      </c>
      <c r="BA25" s="640">
        <f t="shared" si="7"/>
        <v>7</v>
      </c>
      <c r="BB25" s="484">
        <f t="shared" si="4"/>
        <v>5.971</v>
      </c>
      <c r="BC25" s="484">
        <f t="shared" si="5"/>
        <v>6.251</v>
      </c>
    </row>
    <row r="26" spans="1:55" ht="14.25" customHeight="1">
      <c r="A26" s="37"/>
      <c r="B26" s="688">
        <v>0.16</v>
      </c>
      <c r="C26" s="494" t="str">
        <f t="shared" si="0"/>
        <v>DAMSON</v>
      </c>
      <c r="D26" s="285" t="str">
        <f t="shared" si="1"/>
        <v>-</v>
      </c>
      <c r="E26" s="537"/>
      <c r="F26" s="782"/>
      <c r="G26" s="782"/>
      <c r="H26" s="782"/>
      <c r="I26" s="782"/>
      <c r="J26" s="782"/>
      <c r="K26" s="782"/>
      <c r="L26" s="782"/>
      <c r="M26" s="782"/>
      <c r="N26" s="782"/>
      <c r="O26" s="782"/>
      <c r="P26" s="782"/>
      <c r="Q26" s="782"/>
      <c r="R26" s="782"/>
      <c r="S26" s="782"/>
      <c r="T26" s="782"/>
      <c r="U26" s="12"/>
      <c r="V26" s="12"/>
      <c r="W26" s="29"/>
      <c r="X26" s="29"/>
      <c r="Y26" s="144"/>
      <c r="Z26" s="232"/>
      <c r="AA26" s="620" t="s">
        <v>164</v>
      </c>
      <c r="AB26" s="621" t="s">
        <v>595</v>
      </c>
      <c r="AC26" s="622">
        <v>9</v>
      </c>
      <c r="AD26" s="622">
        <v>2.2</v>
      </c>
      <c r="AE26" s="624">
        <v>0.15</v>
      </c>
      <c r="AF26" s="624">
        <v>0.15</v>
      </c>
      <c r="AG26" s="622">
        <v>1.1</v>
      </c>
      <c r="AH26" s="622">
        <v>80</v>
      </c>
      <c r="AI26" s="624">
        <v>155</v>
      </c>
      <c r="AJ26" s="624">
        <v>0.028</v>
      </c>
      <c r="AK26" s="624">
        <v>0.417</v>
      </c>
      <c r="AL26" s="624">
        <v>0.135</v>
      </c>
      <c r="AM26" s="624">
        <v>0.029</v>
      </c>
      <c r="AN26" s="150" t="s">
        <v>396</v>
      </c>
      <c r="AO26" s="480">
        <f t="shared" si="2"/>
        <v>0</v>
      </c>
      <c r="AP26" s="143">
        <f t="shared" si="8"/>
        <v>0</v>
      </c>
      <c r="AQ26" s="154">
        <f t="shared" si="9"/>
        <v>0</v>
      </c>
      <c r="AR26" s="154">
        <f t="shared" si="10"/>
        <v>0</v>
      </c>
      <c r="AS26" s="154">
        <f t="shared" si="11"/>
        <v>0</v>
      </c>
      <c r="AT26" s="154">
        <f t="shared" si="12"/>
        <v>0</v>
      </c>
      <c r="AU26" s="143">
        <f t="shared" si="13"/>
        <v>0</v>
      </c>
      <c r="AV26" s="143">
        <f t="shared" si="14"/>
        <v>0</v>
      </c>
      <c r="AW26" s="143">
        <f t="shared" si="15"/>
        <v>0</v>
      </c>
      <c r="AX26" s="143">
        <f t="shared" si="16"/>
        <v>0</v>
      </c>
      <c r="AY26" s="143">
        <f t="shared" si="17"/>
        <v>0</v>
      </c>
      <c r="AZ26" s="143">
        <f t="shared" si="18"/>
        <v>0</v>
      </c>
      <c r="BA26" s="640">
        <f t="shared" si="7"/>
        <v>7.5</v>
      </c>
      <c r="BB26" s="484">
        <f t="shared" si="4"/>
        <v>6.3975</v>
      </c>
      <c r="BC26" s="484">
        <f t="shared" si="5"/>
        <v>6.6975</v>
      </c>
    </row>
    <row r="27" spans="1:55" ht="14.25" customHeight="1">
      <c r="A27" s="37"/>
      <c r="B27" s="688">
        <v>0.85</v>
      </c>
      <c r="C27" s="494" t="str">
        <f t="shared" si="0"/>
        <v>DATE</v>
      </c>
      <c r="D27" s="285" t="str">
        <f t="shared" si="1"/>
        <v>-</v>
      </c>
      <c r="E27" s="537"/>
      <c r="F27" s="782"/>
      <c r="G27" s="782"/>
      <c r="H27" s="782"/>
      <c r="I27" s="782"/>
      <c r="J27" s="782"/>
      <c r="K27" s="782"/>
      <c r="L27" s="782"/>
      <c r="M27" s="782"/>
      <c r="N27" s="782"/>
      <c r="O27" s="1311" t="s">
        <v>676</v>
      </c>
      <c r="P27" s="1311"/>
      <c r="Q27" s="1311"/>
      <c r="R27" s="1311"/>
      <c r="S27" s="1311"/>
      <c r="T27" s="1311"/>
      <c r="U27" s="53"/>
      <c r="V27" s="53"/>
      <c r="W27" s="29"/>
      <c r="X27" s="29"/>
      <c r="Y27" s="144"/>
      <c r="Z27" s="232"/>
      <c r="AA27" s="620" t="s">
        <v>165</v>
      </c>
      <c r="AB27" s="621" t="s">
        <v>595</v>
      </c>
      <c r="AC27" s="628">
        <v>64</v>
      </c>
      <c r="AD27" s="628">
        <v>1</v>
      </c>
      <c r="AE27" s="624">
        <v>0.15</v>
      </c>
      <c r="AF27" s="629">
        <v>75</v>
      </c>
      <c r="AG27" s="630">
        <v>0.8</v>
      </c>
      <c r="AH27" s="630">
        <v>90</v>
      </c>
      <c r="AI27" s="628">
        <v>656</v>
      </c>
      <c r="AJ27" s="628">
        <v>0.05</v>
      </c>
      <c r="AK27" s="628">
        <v>1.27</v>
      </c>
      <c r="AL27" s="628">
        <v>0.58</v>
      </c>
      <c r="AM27" s="628">
        <v>0.17</v>
      </c>
      <c r="AN27" s="160" t="s">
        <v>396</v>
      </c>
      <c r="AO27" s="151">
        <f t="shared" si="2"/>
        <v>0</v>
      </c>
      <c r="AP27" s="161">
        <f t="shared" si="8"/>
        <v>0</v>
      </c>
      <c r="AQ27" s="162">
        <f t="shared" si="9"/>
        <v>0</v>
      </c>
      <c r="AR27" s="162">
        <f t="shared" si="10"/>
        <v>0</v>
      </c>
      <c r="AS27" s="162">
        <f t="shared" si="11"/>
        <v>0</v>
      </c>
      <c r="AT27" s="162">
        <f t="shared" si="12"/>
        <v>0</v>
      </c>
      <c r="AU27" s="161">
        <f t="shared" si="13"/>
        <v>0</v>
      </c>
      <c r="AV27" s="161">
        <f t="shared" si="14"/>
        <v>0</v>
      </c>
      <c r="AW27" s="161">
        <f t="shared" si="15"/>
        <v>0</v>
      </c>
      <c r="AX27" s="161">
        <f t="shared" si="16"/>
        <v>0</v>
      </c>
      <c r="AY27" s="161">
        <f t="shared" si="17"/>
        <v>0</v>
      </c>
      <c r="AZ27" s="161">
        <f t="shared" si="18"/>
        <v>0</v>
      </c>
      <c r="BA27" s="640">
        <f t="shared" si="7"/>
        <v>8</v>
      </c>
      <c r="BB27" s="484">
        <f t="shared" si="4"/>
        <v>6.824</v>
      </c>
      <c r="BC27" s="484">
        <f t="shared" si="5"/>
        <v>7.144</v>
      </c>
    </row>
    <row r="28" spans="1:55" ht="14.25" customHeight="1">
      <c r="A28" s="37"/>
      <c r="B28" s="688">
        <v>0.2</v>
      </c>
      <c r="C28" s="494" t="str">
        <f t="shared" si="0"/>
        <v>ELDERBERRY</v>
      </c>
      <c r="D28" s="285" t="str">
        <f t="shared" si="1"/>
        <v>-</v>
      </c>
      <c r="E28" s="537"/>
      <c r="F28" s="782"/>
      <c r="G28" s="782"/>
      <c r="H28" s="782"/>
      <c r="I28" s="782"/>
      <c r="J28" s="782"/>
      <c r="K28" s="768"/>
      <c r="L28" s="768"/>
      <c r="M28" s="768"/>
      <c r="N28" s="782"/>
      <c r="O28" s="405" t="s">
        <v>319</v>
      </c>
      <c r="P28" s="405" t="s">
        <v>330</v>
      </c>
      <c r="Q28" s="405" t="s">
        <v>333</v>
      </c>
      <c r="R28" s="405" t="s">
        <v>339</v>
      </c>
      <c r="S28" s="405" t="s">
        <v>343</v>
      </c>
      <c r="T28" s="405" t="s">
        <v>349</v>
      </c>
      <c r="U28" s="53"/>
      <c r="V28" s="53"/>
      <c r="W28" s="29"/>
      <c r="X28" s="29"/>
      <c r="Y28" s="144"/>
      <c r="Z28" s="232"/>
      <c r="AA28" s="620" t="s">
        <v>166</v>
      </c>
      <c r="AB28" s="621" t="s">
        <v>595</v>
      </c>
      <c r="AC28" s="628">
        <v>11.5</v>
      </c>
      <c r="AD28" s="628">
        <v>1.05</v>
      </c>
      <c r="AE28" s="628">
        <v>0.55</v>
      </c>
      <c r="AF28" s="629">
        <v>18</v>
      </c>
      <c r="AG28" s="630">
        <v>0.8</v>
      </c>
      <c r="AH28" s="628">
        <v>200</v>
      </c>
      <c r="AI28" s="628">
        <v>280</v>
      </c>
      <c r="AJ28" s="628">
        <v>0.07</v>
      </c>
      <c r="AK28" s="628">
        <v>0.5</v>
      </c>
      <c r="AL28" s="628">
        <v>0.14</v>
      </c>
      <c r="AM28" s="628">
        <v>0.23</v>
      </c>
      <c r="AN28" s="160" t="s">
        <v>397</v>
      </c>
      <c r="AO28" s="151">
        <f t="shared" si="2"/>
        <v>0</v>
      </c>
      <c r="AP28" s="161">
        <f t="shared" si="8"/>
        <v>0</v>
      </c>
      <c r="AQ28" s="162">
        <f t="shared" si="9"/>
        <v>0</v>
      </c>
      <c r="AR28" s="162">
        <f t="shared" si="10"/>
        <v>0</v>
      </c>
      <c r="AS28" s="162">
        <f t="shared" si="11"/>
        <v>0</v>
      </c>
      <c r="AT28" s="162">
        <f t="shared" si="12"/>
        <v>0</v>
      </c>
      <c r="AU28" s="161">
        <f t="shared" si="13"/>
        <v>0</v>
      </c>
      <c r="AV28" s="161">
        <f t="shared" si="14"/>
        <v>0</v>
      </c>
      <c r="AW28" s="161">
        <f t="shared" si="15"/>
        <v>0</v>
      </c>
      <c r="AX28" s="161">
        <f t="shared" si="16"/>
        <v>0</v>
      </c>
      <c r="AY28" s="161">
        <f t="shared" si="17"/>
        <v>0</v>
      </c>
      <c r="AZ28" s="161">
        <f t="shared" si="18"/>
        <v>0</v>
      </c>
      <c r="BA28" s="640">
        <f t="shared" si="7"/>
        <v>8.5</v>
      </c>
      <c r="BB28" s="484">
        <f t="shared" si="4"/>
        <v>7.2505</v>
      </c>
      <c r="BC28" s="484">
        <f t="shared" si="5"/>
        <v>7.5905000000000005</v>
      </c>
    </row>
    <row r="29" spans="1:55" ht="14.25" customHeight="1">
      <c r="A29" s="37"/>
      <c r="B29" s="688">
        <v>0</v>
      </c>
      <c r="C29" s="494" t="str">
        <f t="shared" si="0"/>
        <v>         "</v>
      </c>
      <c r="D29" s="285" t="str">
        <f t="shared" si="1"/>
        <v>JUICE</v>
      </c>
      <c r="E29" s="537"/>
      <c r="F29" s="782"/>
      <c r="G29" s="509"/>
      <c r="H29" s="509"/>
      <c r="I29" s="782"/>
      <c r="J29" s="1307" t="s">
        <v>275</v>
      </c>
      <c r="K29" s="1307"/>
      <c r="L29" s="1307"/>
      <c r="M29" s="1307"/>
      <c r="N29" s="1308"/>
      <c r="O29" s="399">
        <f aca="true" t="shared" si="19" ref="O29:T29">AU143</f>
        <v>410</v>
      </c>
      <c r="P29" s="399">
        <f t="shared" si="19"/>
        <v>4015.8</v>
      </c>
      <c r="Q29" s="400">
        <f t="shared" si="19"/>
        <v>0.6819999999999999</v>
      </c>
      <c r="R29" s="400">
        <f t="shared" si="19"/>
        <v>4.23</v>
      </c>
      <c r="S29" s="400">
        <f t="shared" si="19"/>
        <v>1.8636</v>
      </c>
      <c r="T29" s="400">
        <f t="shared" si="19"/>
        <v>1.105</v>
      </c>
      <c r="U29" s="53"/>
      <c r="V29" s="53"/>
      <c r="W29" s="29"/>
      <c r="X29" s="29"/>
      <c r="Y29" s="144"/>
      <c r="Z29" s="232"/>
      <c r="AA29" s="620" t="s">
        <v>598</v>
      </c>
      <c r="AB29" s="621" t="s">
        <v>232</v>
      </c>
      <c r="AC29" s="630">
        <v>12</v>
      </c>
      <c r="AD29" s="630">
        <v>1</v>
      </c>
      <c r="AE29" s="630">
        <v>0.31</v>
      </c>
      <c r="AF29" s="631">
        <v>18.3</v>
      </c>
      <c r="AG29" s="630">
        <v>0.8</v>
      </c>
      <c r="AH29" s="630">
        <v>200</v>
      </c>
      <c r="AI29" s="630">
        <v>280</v>
      </c>
      <c r="AJ29" s="630">
        <v>0.07</v>
      </c>
      <c r="AK29" s="630">
        <v>0.5</v>
      </c>
      <c r="AL29" s="630">
        <v>0.14</v>
      </c>
      <c r="AM29" s="630">
        <v>0.23</v>
      </c>
      <c r="AN29" s="160" t="s">
        <v>397</v>
      </c>
      <c r="AO29" s="151">
        <f t="shared" si="2"/>
        <v>0</v>
      </c>
      <c r="AP29" s="161">
        <f t="shared" si="8"/>
        <v>0</v>
      </c>
      <c r="AQ29" s="162">
        <f t="shared" si="9"/>
        <v>0</v>
      </c>
      <c r="AR29" s="162">
        <f t="shared" si="10"/>
        <v>0</v>
      </c>
      <c r="AS29" s="162">
        <f t="shared" si="11"/>
        <v>0</v>
      </c>
      <c r="AT29" s="162">
        <f t="shared" si="12"/>
        <v>0</v>
      </c>
      <c r="AU29" s="161">
        <f t="shared" si="13"/>
        <v>0</v>
      </c>
      <c r="AV29" s="161">
        <f t="shared" si="14"/>
        <v>0</v>
      </c>
      <c r="AW29" s="161">
        <f t="shared" si="15"/>
        <v>0</v>
      </c>
      <c r="AX29" s="161">
        <f t="shared" si="16"/>
        <v>0</v>
      </c>
      <c r="AY29" s="161">
        <f t="shared" si="17"/>
        <v>0</v>
      </c>
      <c r="AZ29" s="161">
        <f t="shared" si="18"/>
        <v>0</v>
      </c>
      <c r="BA29" s="640">
        <f t="shared" si="7"/>
        <v>9</v>
      </c>
      <c r="BB29" s="484">
        <f t="shared" si="4"/>
        <v>7.677</v>
      </c>
      <c r="BC29" s="484">
        <f t="shared" si="5"/>
        <v>8.037</v>
      </c>
    </row>
    <row r="30" spans="1:55" ht="14.25" customHeight="1">
      <c r="A30" s="37"/>
      <c r="B30" s="688">
        <v>0.21</v>
      </c>
      <c r="C30" s="494" t="str">
        <f t="shared" si="0"/>
        <v>FIGS</v>
      </c>
      <c r="D30" s="285" t="str">
        <f t="shared" si="1"/>
        <v>FLESH</v>
      </c>
      <c r="E30" s="537"/>
      <c r="F30" s="782"/>
      <c r="G30" s="509"/>
      <c r="H30" s="509"/>
      <c r="I30" s="782"/>
      <c r="J30" s="1300" t="str">
        <f>"Nutrient &amp; Vitamins required for "&amp;FIXED(J60,2)&amp;" litres of must "</f>
        <v>Nutrient &amp; Vitamins required for 4.77 litres of must </v>
      </c>
      <c r="K30" s="1300"/>
      <c r="L30" s="1300"/>
      <c r="M30" s="1300"/>
      <c r="N30" s="1301"/>
      <c r="O30" s="221">
        <f aca="true" t="shared" si="20" ref="O30:T30">$J60*O33</f>
        <v>716.0699999999999</v>
      </c>
      <c r="P30" s="221">
        <f t="shared" si="20"/>
        <v>2625.5899999999997</v>
      </c>
      <c r="Q30" s="184">
        <f t="shared" si="20"/>
        <v>0.47737999999999997</v>
      </c>
      <c r="R30" s="184">
        <f t="shared" si="20"/>
        <v>0.9547599999999999</v>
      </c>
      <c r="S30" s="184">
        <f t="shared" si="20"/>
        <v>0.9547599999999999</v>
      </c>
      <c r="T30" s="184">
        <f t="shared" si="20"/>
        <v>0.9547599999999999</v>
      </c>
      <c r="U30" s="53"/>
      <c r="V30" s="53"/>
      <c r="W30" s="29"/>
      <c r="X30" s="29"/>
      <c r="Y30" s="144"/>
      <c r="Z30" s="232"/>
      <c r="AA30" s="620" t="s">
        <v>167</v>
      </c>
      <c r="AB30" s="621" t="s">
        <v>228</v>
      </c>
      <c r="AC30" s="628">
        <v>15</v>
      </c>
      <c r="AD30" s="628">
        <v>0.4</v>
      </c>
      <c r="AE30" s="630">
        <v>0.31</v>
      </c>
      <c r="AF30" s="629">
        <v>19</v>
      </c>
      <c r="AG30" s="630">
        <v>0.8</v>
      </c>
      <c r="AH30" s="630">
        <v>200</v>
      </c>
      <c r="AI30" s="628">
        <v>232</v>
      </c>
      <c r="AJ30" s="628">
        <v>0.06</v>
      </c>
      <c r="AK30" s="628">
        <v>0.4</v>
      </c>
      <c r="AL30" s="628">
        <v>0.3</v>
      </c>
      <c r="AM30" s="628">
        <v>0.113</v>
      </c>
      <c r="AN30" s="160" t="s">
        <v>396</v>
      </c>
      <c r="AO30" s="151">
        <f t="shared" si="2"/>
        <v>0</v>
      </c>
      <c r="AP30" s="161">
        <f t="shared" si="8"/>
        <v>0</v>
      </c>
      <c r="AQ30" s="162">
        <f t="shared" si="9"/>
        <v>0</v>
      </c>
      <c r="AR30" s="162">
        <f t="shared" si="10"/>
        <v>0</v>
      </c>
      <c r="AS30" s="162">
        <f t="shared" si="11"/>
        <v>0</v>
      </c>
      <c r="AT30" s="162">
        <f t="shared" si="12"/>
        <v>0</v>
      </c>
      <c r="AU30" s="161">
        <f t="shared" si="13"/>
        <v>0</v>
      </c>
      <c r="AV30" s="161">
        <f t="shared" si="14"/>
        <v>0</v>
      </c>
      <c r="AW30" s="161">
        <f t="shared" si="15"/>
        <v>0</v>
      </c>
      <c r="AX30" s="161">
        <f t="shared" si="16"/>
        <v>0</v>
      </c>
      <c r="AY30" s="161">
        <f t="shared" si="17"/>
        <v>0</v>
      </c>
      <c r="AZ30" s="161">
        <f t="shared" si="18"/>
        <v>0</v>
      </c>
      <c r="BA30" s="640">
        <f t="shared" si="7"/>
        <v>9.5</v>
      </c>
      <c r="BB30" s="484">
        <f t="shared" si="4"/>
        <v>8.1035</v>
      </c>
      <c r="BC30" s="484">
        <f t="shared" si="5"/>
        <v>8.4835</v>
      </c>
    </row>
    <row r="31" spans="1:55" ht="14.25" customHeight="1">
      <c r="A31" s="37"/>
      <c r="B31" s="688">
        <v>0.7</v>
      </c>
      <c r="C31" s="494" t="str">
        <f t="shared" si="0"/>
        <v>   "</v>
      </c>
      <c r="D31" s="285" t="str">
        <f t="shared" si="1"/>
        <v>DRIED</v>
      </c>
      <c r="E31" s="537"/>
      <c r="F31" s="270"/>
      <c r="G31" s="509"/>
      <c r="H31" s="509"/>
      <c r="I31" s="270"/>
      <c r="J31" s="610">
        <v>2</v>
      </c>
      <c r="K31" s="1302" t="str">
        <f>"g = "&amp;FIXED(J31/4.5)&amp;" level 5ml tsp nutrient give a total of"</f>
        <v>g = 0.44 level 5ml tsp nutrient give a total of</v>
      </c>
      <c r="L31" s="1302"/>
      <c r="M31" s="1302"/>
      <c r="N31" s="1303"/>
      <c r="O31" s="185">
        <f>(O29-O30)+O34*$J31</f>
        <v>113.93000000000006</v>
      </c>
      <c r="P31" s="185">
        <f>(P29-P30)+P34*$J31</f>
        <v>1630.2100000000005</v>
      </c>
      <c r="Q31" s="402"/>
      <c r="R31" s="402"/>
      <c r="S31" s="402"/>
      <c r="T31" s="402"/>
      <c r="U31" s="53"/>
      <c r="V31" s="53"/>
      <c r="W31" s="29"/>
      <c r="X31" s="29"/>
      <c r="Y31" s="144"/>
      <c r="Z31" s="232"/>
      <c r="AA31" s="620" t="s">
        <v>607</v>
      </c>
      <c r="AB31" s="621" t="s">
        <v>229</v>
      </c>
      <c r="AC31" s="628">
        <v>48</v>
      </c>
      <c r="AD31" s="628">
        <v>2.5</v>
      </c>
      <c r="AE31" s="630">
        <v>0.31</v>
      </c>
      <c r="AF31" s="629">
        <v>64</v>
      </c>
      <c r="AG31" s="630">
        <v>0.8</v>
      </c>
      <c r="AH31" s="630">
        <v>200</v>
      </c>
      <c r="AI31" s="628">
        <v>680</v>
      </c>
      <c r="AJ31" s="628">
        <v>0.085</v>
      </c>
      <c r="AK31" s="628">
        <v>0.619</v>
      </c>
      <c r="AL31" s="628">
        <v>0.434</v>
      </c>
      <c r="AM31" s="628">
        <v>0</v>
      </c>
      <c r="AN31" s="160" t="s">
        <v>396</v>
      </c>
      <c r="AO31" s="151">
        <f t="shared" si="2"/>
        <v>0</v>
      </c>
      <c r="AP31" s="161">
        <f t="shared" si="8"/>
        <v>0</v>
      </c>
      <c r="AQ31" s="162">
        <f t="shared" si="9"/>
        <v>0</v>
      </c>
      <c r="AR31" s="162">
        <f t="shared" si="10"/>
        <v>0</v>
      </c>
      <c r="AS31" s="162">
        <f t="shared" si="11"/>
        <v>0</v>
      </c>
      <c r="AT31" s="162">
        <f t="shared" si="12"/>
        <v>0</v>
      </c>
      <c r="AU31" s="161">
        <f t="shared" si="13"/>
        <v>0</v>
      </c>
      <c r="AV31" s="161">
        <f t="shared" si="14"/>
        <v>0</v>
      </c>
      <c r="AW31" s="161">
        <f t="shared" si="15"/>
        <v>0</v>
      </c>
      <c r="AX31" s="161">
        <f t="shared" si="16"/>
        <v>0</v>
      </c>
      <c r="AY31" s="161">
        <f t="shared" si="17"/>
        <v>0</v>
      </c>
      <c r="AZ31" s="161">
        <f t="shared" si="18"/>
        <v>0</v>
      </c>
      <c r="BA31" s="640">
        <f t="shared" si="7"/>
        <v>10</v>
      </c>
      <c r="BB31" s="484">
        <f t="shared" si="4"/>
        <v>8.53</v>
      </c>
      <c r="BC31" s="484">
        <f t="shared" si="5"/>
        <v>8.93</v>
      </c>
    </row>
    <row r="32" spans="1:55" ht="14.25" customHeight="1">
      <c r="A32" s="37"/>
      <c r="B32" s="688">
        <v>0.35</v>
      </c>
      <c r="C32" s="494" t="str">
        <f t="shared" si="0"/>
        <v>GOOSEBERRY</v>
      </c>
      <c r="D32" s="285" t="str">
        <f t="shared" si="1"/>
        <v>EATING</v>
      </c>
      <c r="E32" s="537"/>
      <c r="F32" s="270"/>
      <c r="G32" s="509"/>
      <c r="H32" s="270"/>
      <c r="I32" s="270"/>
      <c r="J32" s="610"/>
      <c r="K32" s="1150" t="s">
        <v>615</v>
      </c>
      <c r="L32" s="1150"/>
      <c r="M32" s="1150"/>
      <c r="N32" s="1161"/>
      <c r="O32" s="402"/>
      <c r="P32" s="402"/>
      <c r="Q32" s="401">
        <f>(Q29-Q30)+Q34*$J32</f>
        <v>0.20461999999999997</v>
      </c>
      <c r="R32" s="401">
        <f>(R29-R30)+R34*$J32</f>
        <v>3.2752400000000006</v>
      </c>
      <c r="S32" s="401">
        <f>(S29-S30)+S34*$J32</f>
        <v>0.90884</v>
      </c>
      <c r="T32" s="401">
        <f>(T29-T30)+T34*$J32</f>
        <v>0.15024000000000004</v>
      </c>
      <c r="U32" s="53"/>
      <c r="V32" s="53"/>
      <c r="W32" s="29"/>
      <c r="X32" s="29"/>
      <c r="Y32" s="144"/>
      <c r="Z32" s="232"/>
      <c r="AA32" s="620" t="s">
        <v>168</v>
      </c>
      <c r="AB32" s="621" t="s">
        <v>593</v>
      </c>
      <c r="AC32" s="628">
        <v>8.5</v>
      </c>
      <c r="AD32" s="628">
        <v>1.7</v>
      </c>
      <c r="AE32" s="628">
        <v>0.1</v>
      </c>
      <c r="AF32" s="631">
        <v>10</v>
      </c>
      <c r="AG32" s="628">
        <v>0.9</v>
      </c>
      <c r="AH32" s="628">
        <v>160</v>
      </c>
      <c r="AI32" s="628">
        <v>198</v>
      </c>
      <c r="AJ32" s="628">
        <v>0.04</v>
      </c>
      <c r="AK32" s="628">
        <v>0.3</v>
      </c>
      <c r="AL32" s="628">
        <v>0.286</v>
      </c>
      <c r="AM32" s="628">
        <v>0</v>
      </c>
      <c r="AN32" s="160" t="s">
        <v>398</v>
      </c>
      <c r="AO32" s="151">
        <f t="shared" si="2"/>
        <v>0</v>
      </c>
      <c r="AP32" s="161">
        <f>E32*AC36/100</f>
        <v>0</v>
      </c>
      <c r="AQ32" s="162">
        <f>E32*AD36/100</f>
        <v>0</v>
      </c>
      <c r="AR32" s="162">
        <f>E32*AE36/100</f>
        <v>0</v>
      </c>
      <c r="AS32" s="162">
        <f>E32*(AF36-AC36)/100</f>
        <v>0</v>
      </c>
      <c r="AT32" s="162">
        <f>E32*AG36/1200</f>
        <v>0</v>
      </c>
      <c r="AU32" s="161">
        <f>$E32*AH36/100</f>
        <v>0</v>
      </c>
      <c r="AV32" s="161">
        <f>$E32*AI36/100</f>
        <v>0</v>
      </c>
      <c r="AW32" s="161">
        <f>$E32*AJ36/100</f>
        <v>0</v>
      </c>
      <c r="AX32" s="161">
        <f>$E32*AK36/100</f>
        <v>0</v>
      </c>
      <c r="AY32" s="161">
        <f>$E32*AL36/100</f>
        <v>0</v>
      </c>
      <c r="AZ32" s="161">
        <f>$E32*AM32/100</f>
        <v>0</v>
      </c>
      <c r="BA32" s="640">
        <f t="shared" si="7"/>
        <v>10.5</v>
      </c>
      <c r="BB32" s="484">
        <f t="shared" si="4"/>
        <v>8.9565</v>
      </c>
      <c r="BC32" s="484">
        <f t="shared" si="5"/>
        <v>9.3765</v>
      </c>
    </row>
    <row r="33" spans="1:55" ht="14.25" customHeight="1" hidden="1">
      <c r="A33" s="37"/>
      <c r="B33" s="689"/>
      <c r="C33" s="198" t="s">
        <v>558</v>
      </c>
      <c r="D33" s="285"/>
      <c r="E33" s="538"/>
      <c r="F33" s="33"/>
      <c r="G33" s="12"/>
      <c r="H33" s="270"/>
      <c r="I33" s="270"/>
      <c r="K33" s="24"/>
      <c r="L33" s="24"/>
      <c r="M33" s="1309" t="s">
        <v>698</v>
      </c>
      <c r="N33" s="1310"/>
      <c r="O33" s="183">
        <v>150</v>
      </c>
      <c r="P33" s="183">
        <v>550</v>
      </c>
      <c r="Q33" s="183">
        <v>0.1</v>
      </c>
      <c r="R33" s="184">
        <v>0.2</v>
      </c>
      <c r="S33" s="184">
        <v>0.2</v>
      </c>
      <c r="T33" s="184">
        <v>0.2</v>
      </c>
      <c r="U33" s="198" t="s">
        <v>558</v>
      </c>
      <c r="V33" s="53"/>
      <c r="W33" s="29"/>
      <c r="X33" s="29"/>
      <c r="Y33" s="144"/>
      <c r="Z33" s="232"/>
      <c r="AA33" s="620"/>
      <c r="AB33" s="621"/>
      <c r="AC33" s="628"/>
      <c r="AD33" s="628"/>
      <c r="AE33" s="628"/>
      <c r="AF33" s="629"/>
      <c r="AG33" s="628"/>
      <c r="AH33" s="628"/>
      <c r="AI33" s="628"/>
      <c r="AJ33" s="628"/>
      <c r="AK33" s="628"/>
      <c r="AL33" s="628"/>
      <c r="AM33" s="628"/>
      <c r="AN33" s="892" t="s">
        <v>558</v>
      </c>
      <c r="AO33" s="151"/>
      <c r="AP33" s="161"/>
      <c r="AQ33" s="162"/>
      <c r="AR33" s="162"/>
      <c r="AS33" s="162"/>
      <c r="AT33" s="162"/>
      <c r="AU33" s="161"/>
      <c r="AV33" s="161"/>
      <c r="AW33" s="161"/>
      <c r="AX33" s="161"/>
      <c r="AY33" s="161"/>
      <c r="AZ33" s="161"/>
      <c r="BA33" s="641"/>
      <c r="BB33" s="643"/>
      <c r="BC33" s="643"/>
    </row>
    <row r="34" spans="1:55" ht="14.25" customHeight="1" hidden="1">
      <c r="A34" s="53"/>
      <c r="B34" s="689"/>
      <c r="C34" s="198" t="s">
        <v>558</v>
      </c>
      <c r="D34" s="285"/>
      <c r="E34" s="538"/>
      <c r="F34" s="33"/>
      <c r="G34" s="33"/>
      <c r="H34" s="270"/>
      <c r="I34" s="270"/>
      <c r="J34" s="33"/>
      <c r="K34" s="16"/>
      <c r="L34" s="16"/>
      <c r="M34" s="782"/>
      <c r="N34" s="782"/>
      <c r="O34" s="403">
        <v>210</v>
      </c>
      <c r="P34" s="403">
        <v>120</v>
      </c>
      <c r="Q34" s="404">
        <v>1.4</v>
      </c>
      <c r="R34" s="404">
        <v>18</v>
      </c>
      <c r="S34" s="404">
        <v>6</v>
      </c>
      <c r="T34" s="404">
        <v>2</v>
      </c>
      <c r="U34" s="198" t="s">
        <v>558</v>
      </c>
      <c r="V34" s="53"/>
      <c r="W34" s="29"/>
      <c r="X34" s="29"/>
      <c r="Y34" s="158"/>
      <c r="Z34" s="232"/>
      <c r="AA34" s="632"/>
      <c r="AB34" s="633"/>
      <c r="AC34" s="633"/>
      <c r="AD34" s="633"/>
      <c r="AE34" s="633"/>
      <c r="AF34" s="633"/>
      <c r="AG34" s="633"/>
      <c r="AH34" s="633"/>
      <c r="AI34" s="633"/>
      <c r="AJ34" s="633"/>
      <c r="AK34" s="633"/>
      <c r="AL34" s="633"/>
      <c r="AM34" s="633"/>
      <c r="AN34" s="892" t="s">
        <v>558</v>
      </c>
      <c r="AO34" s="478"/>
      <c r="AP34" s="478"/>
      <c r="AQ34" s="478"/>
      <c r="AR34" s="478"/>
      <c r="AS34" s="478"/>
      <c r="AT34" s="478"/>
      <c r="AU34" s="478"/>
      <c r="AV34" s="478"/>
      <c r="AW34" s="478"/>
      <c r="AX34" s="478"/>
      <c r="AY34" s="478"/>
      <c r="AZ34" s="478"/>
      <c r="BA34" s="640"/>
      <c r="BB34" s="484"/>
      <c r="BC34" s="484"/>
    </row>
    <row r="35" spans="1:55" ht="14.25" customHeight="1" hidden="1">
      <c r="A35" s="53"/>
      <c r="B35" s="689"/>
      <c r="C35" s="198" t="s">
        <v>558</v>
      </c>
      <c r="D35" s="285"/>
      <c r="E35" s="538"/>
      <c r="F35" s="33"/>
      <c r="G35" s="33"/>
      <c r="H35" s="33"/>
      <c r="J35" s="33"/>
      <c r="K35" s="16"/>
      <c r="L35" s="16"/>
      <c r="M35" s="16"/>
      <c r="N35" s="29"/>
      <c r="O35" s="403" t="s">
        <v>320</v>
      </c>
      <c r="P35" s="403" t="s">
        <v>331</v>
      </c>
      <c r="Q35" s="403" t="s">
        <v>334</v>
      </c>
      <c r="R35" s="403" t="s">
        <v>334</v>
      </c>
      <c r="S35" s="403" t="s">
        <v>334</v>
      </c>
      <c r="T35" s="403" t="s">
        <v>334</v>
      </c>
      <c r="U35" s="198" t="s">
        <v>558</v>
      </c>
      <c r="V35" s="53"/>
      <c r="W35" s="29"/>
      <c r="X35" s="29"/>
      <c r="Y35" s="144"/>
      <c r="Z35" s="232"/>
      <c r="AA35" s="632"/>
      <c r="AB35" s="625"/>
      <c r="AC35" s="633"/>
      <c r="AD35" s="633"/>
      <c r="AE35" s="633"/>
      <c r="AF35" s="633"/>
      <c r="AG35" s="633"/>
      <c r="AH35" s="633"/>
      <c r="AI35" s="633"/>
      <c r="AJ35" s="633"/>
      <c r="AK35" s="633"/>
      <c r="AL35" s="633"/>
      <c r="AM35" s="633"/>
      <c r="AN35" s="892" t="s">
        <v>558</v>
      </c>
      <c r="AO35" s="478"/>
      <c r="AP35" s="478"/>
      <c r="AQ35" s="478"/>
      <c r="AR35" s="478"/>
      <c r="AS35" s="478"/>
      <c r="AT35" s="478"/>
      <c r="AU35" s="478"/>
      <c r="AV35" s="478"/>
      <c r="AW35" s="478"/>
      <c r="AX35" s="478"/>
      <c r="AY35" s="478"/>
      <c r="AZ35" s="478"/>
      <c r="BA35" s="640"/>
      <c r="BB35" s="484"/>
      <c r="BC35" s="484"/>
    </row>
    <row r="36" spans="1:55" ht="14.25" customHeight="1">
      <c r="A36" s="53"/>
      <c r="B36" s="688">
        <v>0.35</v>
      </c>
      <c r="C36" s="494" t="str">
        <f aca="true" t="shared" si="21" ref="C36:C78">AA36</f>
        <v>         "</v>
      </c>
      <c r="D36" s="285" t="str">
        <f aca="true" t="shared" si="22" ref="D36:D78">AB36</f>
        <v>COOKING</v>
      </c>
      <c r="E36" s="537"/>
      <c r="F36" s="796"/>
      <c r="G36" s="29"/>
      <c r="H36" s="744"/>
      <c r="I36" s="744"/>
      <c r="J36" s="744"/>
      <c r="K36" s="744"/>
      <c r="L36" s="744"/>
      <c r="M36" s="744"/>
      <c r="N36" s="744" t="s">
        <v>654</v>
      </c>
      <c r="O36" s="1312" t="s">
        <v>321</v>
      </c>
      <c r="P36" s="1312"/>
      <c r="Q36" s="1312"/>
      <c r="R36" s="1312"/>
      <c r="S36" s="1312"/>
      <c r="T36" s="1312"/>
      <c r="U36" s="53"/>
      <c r="V36" s="53"/>
      <c r="W36" s="29"/>
      <c r="X36" s="29"/>
      <c r="Y36" s="144"/>
      <c r="Z36" s="232"/>
      <c r="AA36" s="620" t="s">
        <v>598</v>
      </c>
      <c r="AB36" s="621" t="s">
        <v>679</v>
      </c>
      <c r="AC36" s="628">
        <v>5</v>
      </c>
      <c r="AD36" s="628">
        <v>1.7</v>
      </c>
      <c r="AE36" s="628">
        <v>0.1</v>
      </c>
      <c r="AF36" s="629">
        <v>10</v>
      </c>
      <c r="AG36" s="628">
        <v>0.9</v>
      </c>
      <c r="AH36" s="628">
        <v>160</v>
      </c>
      <c r="AI36" s="628">
        <v>198</v>
      </c>
      <c r="AJ36" s="628">
        <v>0.04</v>
      </c>
      <c r="AK36" s="628">
        <v>0.3</v>
      </c>
      <c r="AL36" s="628">
        <v>0.286</v>
      </c>
      <c r="AM36" s="628">
        <v>0</v>
      </c>
      <c r="AN36" s="160" t="s">
        <v>398</v>
      </c>
      <c r="AO36" s="151">
        <f aca="true" t="shared" si="23" ref="AO36:AO60">B36*E36</f>
        <v>0</v>
      </c>
      <c r="AP36" s="161">
        <f>E36*AC32/100</f>
        <v>0</v>
      </c>
      <c r="AQ36" s="162">
        <f>E36*AD32/100</f>
        <v>0</v>
      </c>
      <c r="AR36" s="162">
        <f>E36*AE32/100</f>
        <v>0</v>
      </c>
      <c r="AS36" s="162">
        <f>E36*(AF32-AC32)/100</f>
        <v>0</v>
      </c>
      <c r="AT36" s="162">
        <f>E36*AG32/1200</f>
        <v>0</v>
      </c>
      <c r="AU36" s="161">
        <f>$E36*AH32/100</f>
        <v>0</v>
      </c>
      <c r="AV36" s="161">
        <f>$E36*AI32/100</f>
        <v>0</v>
      </c>
      <c r="AW36" s="161">
        <f>$E36*AJ32/100</f>
        <v>0</v>
      </c>
      <c r="AX36" s="161">
        <f>$E36*AK32/100</f>
        <v>0</v>
      </c>
      <c r="AY36" s="161">
        <f>$E36*AL32/100</f>
        <v>0</v>
      </c>
      <c r="AZ36" s="165">
        <f aca="true" t="shared" si="24" ref="AZ36:AZ69">$E36*AM36/100</f>
        <v>0</v>
      </c>
      <c r="BA36" s="640">
        <v>11</v>
      </c>
      <c r="BB36" s="484">
        <f aca="true" t="shared" si="25" ref="BB36:BB41">$BA36*0.853</f>
        <v>9.383</v>
      </c>
      <c r="BC36" s="484">
        <f aca="true" t="shared" si="26" ref="BC36:BC41">$BA36*0.893</f>
        <v>9.823</v>
      </c>
    </row>
    <row r="37" spans="1:55" ht="14.25" customHeight="1">
      <c r="A37" s="37"/>
      <c r="B37" s="688">
        <v>0.2</v>
      </c>
      <c r="C37" s="494" t="str">
        <f t="shared" si="21"/>
        <v>GRAPE</v>
      </c>
      <c r="D37" s="285" t="str">
        <f t="shared" si="22"/>
        <v>NO SKIN</v>
      </c>
      <c r="E37" s="537"/>
      <c r="F37" s="16"/>
      <c r="G37" s="16"/>
      <c r="H37" s="16"/>
      <c r="I37" s="16"/>
      <c r="J37" s="16"/>
      <c r="K37" s="16"/>
      <c r="L37" s="16"/>
      <c r="M37" s="16"/>
      <c r="N37" s="16"/>
      <c r="O37" s="16"/>
      <c r="P37" s="16"/>
      <c r="Q37" s="16"/>
      <c r="R37" s="16"/>
      <c r="S37" s="16"/>
      <c r="T37" s="16"/>
      <c r="U37" s="16"/>
      <c r="V37" s="16"/>
      <c r="W37" s="29"/>
      <c r="X37" s="29"/>
      <c r="Y37" s="144"/>
      <c r="Z37" s="232"/>
      <c r="AA37" s="620" t="s">
        <v>169</v>
      </c>
      <c r="AB37" s="621" t="s">
        <v>233</v>
      </c>
      <c r="AC37" s="628">
        <v>16.2</v>
      </c>
      <c r="AD37" s="628">
        <v>0.85</v>
      </c>
      <c r="AE37" s="628">
        <v>0.02</v>
      </c>
      <c r="AF37" s="629">
        <v>17</v>
      </c>
      <c r="AG37" s="630">
        <v>0.4</v>
      </c>
      <c r="AH37" s="628">
        <v>100</v>
      </c>
      <c r="AI37" s="628">
        <v>190</v>
      </c>
      <c r="AJ37" s="628">
        <v>0.09</v>
      </c>
      <c r="AK37" s="628">
        <v>0.3</v>
      </c>
      <c r="AL37" s="628">
        <v>0.024</v>
      </c>
      <c r="AM37" s="628">
        <v>0.11</v>
      </c>
      <c r="AN37" s="160" t="s">
        <v>399</v>
      </c>
      <c r="AO37" s="151">
        <f t="shared" si="23"/>
        <v>0</v>
      </c>
      <c r="AP37" s="161">
        <f aca="true" t="shared" si="27" ref="AP37:AP69">E37*AC37/100</f>
        <v>0</v>
      </c>
      <c r="AQ37" s="162">
        <f aca="true" t="shared" si="28" ref="AQ37:AQ69">E37*AD37/100</f>
        <v>0</v>
      </c>
      <c r="AR37" s="162">
        <f aca="true" t="shared" si="29" ref="AR37:AR69">E37*AE37/100</f>
        <v>0</v>
      </c>
      <c r="AS37" s="162">
        <f aca="true" t="shared" si="30" ref="AS37:AS69">E37*(AF37-AC37)/100</f>
        <v>0</v>
      </c>
      <c r="AT37" s="162">
        <f aca="true" t="shared" si="31" ref="AT37:AT69">E37*AG37/1200</f>
        <v>0</v>
      </c>
      <c r="AU37" s="161">
        <f aca="true" t="shared" si="32" ref="AU37:AU69">$E37*AH37/100</f>
        <v>0</v>
      </c>
      <c r="AV37" s="161">
        <f aca="true" t="shared" si="33" ref="AV37:AV69">$E37*AI37/100</f>
        <v>0</v>
      </c>
      <c r="AW37" s="161">
        <f aca="true" t="shared" si="34" ref="AW37:AW69">$E37*AJ37/100</f>
        <v>0</v>
      </c>
      <c r="AX37" s="161">
        <f aca="true" t="shared" si="35" ref="AX37:AX69">$E37*AK37/100</f>
        <v>0</v>
      </c>
      <c r="AY37" s="161">
        <f aca="true" t="shared" si="36" ref="AY37:AY69">$E37*AL37/100</f>
        <v>0</v>
      </c>
      <c r="AZ37" s="165">
        <f t="shared" si="24"/>
        <v>0</v>
      </c>
      <c r="BA37" s="640">
        <f>BA36+0.5</f>
        <v>11.5</v>
      </c>
      <c r="BB37" s="484">
        <f t="shared" si="25"/>
        <v>9.8095</v>
      </c>
      <c r="BC37" s="484">
        <f t="shared" si="26"/>
        <v>10.2695</v>
      </c>
    </row>
    <row r="38" spans="1:55" ht="14.25" customHeight="1">
      <c r="A38" s="37"/>
      <c r="B38" s="688">
        <v>0.18</v>
      </c>
      <c r="C38" s="494" t="str">
        <f t="shared" si="21"/>
        <v>     "</v>
      </c>
      <c r="D38" s="285" t="str">
        <f t="shared" si="22"/>
        <v>+ SKIN</v>
      </c>
      <c r="E38" s="537"/>
      <c r="F38" s="16"/>
      <c r="G38" s="16"/>
      <c r="H38" s="16"/>
      <c r="I38" s="16"/>
      <c r="J38" s="16"/>
      <c r="K38" s="16"/>
      <c r="L38" s="16"/>
      <c r="M38" s="16"/>
      <c r="N38" s="16"/>
      <c r="O38" s="16"/>
      <c r="P38" s="16"/>
      <c r="Q38" s="16"/>
      <c r="R38" s="16"/>
      <c r="S38" s="16"/>
      <c r="T38" s="16"/>
      <c r="U38" s="16"/>
      <c r="V38" s="16"/>
      <c r="W38" s="29"/>
      <c r="X38" s="29"/>
      <c r="Y38" s="144"/>
      <c r="Z38" s="232"/>
      <c r="AA38" s="620" t="s">
        <v>596</v>
      </c>
      <c r="AB38" s="621" t="str">
        <f>"+ SKIN"</f>
        <v>+ SKIN</v>
      </c>
      <c r="AC38" s="628">
        <v>15.5</v>
      </c>
      <c r="AD38" s="628">
        <v>0.85</v>
      </c>
      <c r="AE38" s="628">
        <v>0.2</v>
      </c>
      <c r="AF38" s="629">
        <v>18.1</v>
      </c>
      <c r="AG38" s="628">
        <v>0.4</v>
      </c>
      <c r="AH38" s="628">
        <v>100</v>
      </c>
      <c r="AI38" s="628">
        <v>190</v>
      </c>
      <c r="AJ38" s="628">
        <v>0.07</v>
      </c>
      <c r="AK38" s="628">
        <v>0.19</v>
      </c>
      <c r="AL38" s="628">
        <v>0.05</v>
      </c>
      <c r="AM38" s="628">
        <v>0.09</v>
      </c>
      <c r="AN38" s="160" t="s">
        <v>399</v>
      </c>
      <c r="AO38" s="151">
        <f t="shared" si="23"/>
        <v>0</v>
      </c>
      <c r="AP38" s="161">
        <f t="shared" si="27"/>
        <v>0</v>
      </c>
      <c r="AQ38" s="162">
        <f t="shared" si="28"/>
        <v>0</v>
      </c>
      <c r="AR38" s="162">
        <f t="shared" si="29"/>
        <v>0</v>
      </c>
      <c r="AS38" s="162">
        <f t="shared" si="30"/>
        <v>0</v>
      </c>
      <c r="AT38" s="162">
        <f t="shared" si="31"/>
        <v>0</v>
      </c>
      <c r="AU38" s="161">
        <f t="shared" si="32"/>
        <v>0</v>
      </c>
      <c r="AV38" s="161">
        <f t="shared" si="33"/>
        <v>0</v>
      </c>
      <c r="AW38" s="161">
        <f t="shared" si="34"/>
        <v>0</v>
      </c>
      <c r="AX38" s="161">
        <f t="shared" si="35"/>
        <v>0</v>
      </c>
      <c r="AY38" s="161">
        <f t="shared" si="36"/>
        <v>0</v>
      </c>
      <c r="AZ38" s="165">
        <f t="shared" si="24"/>
        <v>0</v>
      </c>
      <c r="BA38" s="640">
        <f>BA37+0.5</f>
        <v>12</v>
      </c>
      <c r="BB38" s="484">
        <f t="shared" si="25"/>
        <v>10.236</v>
      </c>
      <c r="BC38" s="484">
        <f t="shared" si="26"/>
        <v>10.716000000000001</v>
      </c>
    </row>
    <row r="39" spans="1:55" ht="14.25" customHeight="1">
      <c r="A39" s="37"/>
      <c r="B39" s="688">
        <v>0.17</v>
      </c>
      <c r="C39" s="494" t="str">
        <f t="shared" si="21"/>
        <v>GRAPE JUICE</v>
      </c>
      <c r="D39" s="285" t="str">
        <f t="shared" si="22"/>
        <v>WHITE</v>
      </c>
      <c r="E39" s="537"/>
      <c r="F39" s="16"/>
      <c r="G39" s="1163" t="s">
        <v>246</v>
      </c>
      <c r="H39" s="1163"/>
      <c r="I39" s="1163"/>
      <c r="J39" s="1163"/>
      <c r="K39" s="16"/>
      <c r="L39" s="16"/>
      <c r="M39" s="16"/>
      <c r="N39" s="16"/>
      <c r="O39" s="16"/>
      <c r="P39" s="16"/>
      <c r="Q39" s="16"/>
      <c r="R39" s="16"/>
      <c r="S39" s="16"/>
      <c r="T39" s="16"/>
      <c r="U39" s="53"/>
      <c r="V39" s="53"/>
      <c r="W39" s="29"/>
      <c r="X39" s="29"/>
      <c r="Y39" s="144"/>
      <c r="Z39" s="232"/>
      <c r="AA39" s="620" t="s">
        <v>170</v>
      </c>
      <c r="AB39" s="621" t="s">
        <v>234</v>
      </c>
      <c r="AC39" s="628">
        <v>17</v>
      </c>
      <c r="AD39" s="628">
        <v>0.85</v>
      </c>
      <c r="AE39" s="628">
        <v>0.02</v>
      </c>
      <c r="AF39" s="631">
        <v>17.1</v>
      </c>
      <c r="AG39" s="628">
        <v>0.1</v>
      </c>
      <c r="AH39" s="630">
        <v>100</v>
      </c>
      <c r="AI39" s="628">
        <v>100</v>
      </c>
      <c r="AJ39" s="628">
        <v>0.04</v>
      </c>
      <c r="AK39" s="628">
        <v>0.2</v>
      </c>
      <c r="AL39" s="628">
        <v>0.01</v>
      </c>
      <c r="AM39" s="628">
        <v>0.09</v>
      </c>
      <c r="AN39" s="160" t="s">
        <v>399</v>
      </c>
      <c r="AO39" s="151">
        <f t="shared" si="23"/>
        <v>0</v>
      </c>
      <c r="AP39" s="161">
        <f t="shared" si="27"/>
        <v>0</v>
      </c>
      <c r="AQ39" s="162">
        <f t="shared" si="28"/>
        <v>0</v>
      </c>
      <c r="AR39" s="162">
        <f t="shared" si="29"/>
        <v>0</v>
      </c>
      <c r="AS39" s="162">
        <f t="shared" si="30"/>
        <v>0</v>
      </c>
      <c r="AT39" s="162">
        <f t="shared" si="31"/>
        <v>0</v>
      </c>
      <c r="AU39" s="161">
        <f t="shared" si="32"/>
        <v>0</v>
      </c>
      <c r="AV39" s="161">
        <f t="shared" si="33"/>
        <v>0</v>
      </c>
      <c r="AW39" s="161">
        <f t="shared" si="34"/>
        <v>0</v>
      </c>
      <c r="AX39" s="161">
        <f t="shared" si="35"/>
        <v>0</v>
      </c>
      <c r="AY39" s="161">
        <f t="shared" si="36"/>
        <v>0</v>
      </c>
      <c r="AZ39" s="165">
        <f t="shared" si="24"/>
        <v>0</v>
      </c>
      <c r="BA39" s="640">
        <f>BA38+0.5</f>
        <v>12.5</v>
      </c>
      <c r="BB39" s="484">
        <f t="shared" si="25"/>
        <v>10.6625</v>
      </c>
      <c r="BC39" s="484">
        <f t="shared" si="26"/>
        <v>11.1625</v>
      </c>
    </row>
    <row r="40" spans="1:55" ht="14.25" customHeight="1">
      <c r="A40" s="37"/>
      <c r="B40" s="688">
        <v>0.17</v>
      </c>
      <c r="C40" s="494" t="str">
        <f t="shared" si="21"/>
        <v>          "</v>
      </c>
      <c r="D40" s="285" t="str">
        <f t="shared" si="22"/>
        <v>RED</v>
      </c>
      <c r="E40" s="537"/>
      <c r="F40" s="16"/>
      <c r="G40" s="1187" t="s">
        <v>592</v>
      </c>
      <c r="H40" s="1188"/>
      <c r="I40" s="1188"/>
      <c r="J40" s="1188"/>
      <c r="K40" s="1188"/>
      <c r="L40" s="1188"/>
      <c r="M40" s="1188"/>
      <c r="N40" s="1188"/>
      <c r="O40" s="1188"/>
      <c r="P40" s="1188"/>
      <c r="Q40" s="1188"/>
      <c r="R40" s="1188"/>
      <c r="S40" s="1188"/>
      <c r="T40" s="1188"/>
      <c r="U40" s="1189"/>
      <c r="V40" s="251"/>
      <c r="W40" s="29"/>
      <c r="X40" s="29"/>
      <c r="Y40" s="144"/>
      <c r="Z40" s="232"/>
      <c r="AA40" s="620" t="s">
        <v>599</v>
      </c>
      <c r="AB40" s="621" t="s">
        <v>231</v>
      </c>
      <c r="AC40" s="628">
        <v>17</v>
      </c>
      <c r="AD40" s="628">
        <v>0.85</v>
      </c>
      <c r="AE40" s="628">
        <v>0.2</v>
      </c>
      <c r="AF40" s="631">
        <v>17.1</v>
      </c>
      <c r="AG40" s="628">
        <v>0.1</v>
      </c>
      <c r="AH40" s="630">
        <v>100</v>
      </c>
      <c r="AI40" s="628">
        <v>100</v>
      </c>
      <c r="AJ40" s="628">
        <v>0.04</v>
      </c>
      <c r="AK40" s="628">
        <v>0.2</v>
      </c>
      <c r="AL40" s="628">
        <v>0.01</v>
      </c>
      <c r="AM40" s="628">
        <v>0.09</v>
      </c>
      <c r="AN40" s="160" t="s">
        <v>399</v>
      </c>
      <c r="AO40" s="151">
        <f t="shared" si="23"/>
        <v>0</v>
      </c>
      <c r="AP40" s="161">
        <f t="shared" si="27"/>
        <v>0</v>
      </c>
      <c r="AQ40" s="162">
        <f t="shared" si="28"/>
        <v>0</v>
      </c>
      <c r="AR40" s="162">
        <f t="shared" si="29"/>
        <v>0</v>
      </c>
      <c r="AS40" s="162">
        <f t="shared" si="30"/>
        <v>0</v>
      </c>
      <c r="AT40" s="162">
        <f t="shared" si="31"/>
        <v>0</v>
      </c>
      <c r="AU40" s="161">
        <f t="shared" si="32"/>
        <v>0</v>
      </c>
      <c r="AV40" s="161">
        <f t="shared" si="33"/>
        <v>0</v>
      </c>
      <c r="AW40" s="161">
        <f t="shared" si="34"/>
        <v>0</v>
      </c>
      <c r="AX40" s="161">
        <f t="shared" si="35"/>
        <v>0</v>
      </c>
      <c r="AY40" s="161">
        <f t="shared" si="36"/>
        <v>0</v>
      </c>
      <c r="AZ40" s="165">
        <f t="shared" si="24"/>
        <v>0</v>
      </c>
      <c r="BA40" s="640">
        <f>BA39+0.5</f>
        <v>13</v>
      </c>
      <c r="BB40" s="484">
        <f t="shared" si="25"/>
        <v>11.089</v>
      </c>
      <c r="BC40" s="484">
        <f t="shared" si="26"/>
        <v>11.609</v>
      </c>
    </row>
    <row r="41" spans="1:55" ht="14.25" customHeight="1">
      <c r="A41" s="37"/>
      <c r="B41" s="688">
        <v>0</v>
      </c>
      <c r="C41" s="494" t="str">
        <f t="shared" si="21"/>
        <v>GRAPE CONC. g</v>
      </c>
      <c r="D41" s="285" t="str">
        <f t="shared" si="22"/>
        <v>WHITE</v>
      </c>
      <c r="E41" s="537"/>
      <c r="F41" s="495"/>
      <c r="G41" s="1288" t="s">
        <v>247</v>
      </c>
      <c r="H41" s="1289"/>
      <c r="I41" s="1289"/>
      <c r="J41" s="612"/>
      <c r="K41" s="1150" t="str">
        <f>"g (0 nom.) for an estimated gravity increase of "&amp;FIXED((J41*0.375/J56),1)&amp;" ("&amp;IF(D6&gt;1020,"Dessert)",IF(D6&gt;1015,"Sweet)",IF(D6&gt;1010,"Medium Sweet)",IF(D6&gt;1005,"Medium)",IF(D6&gt;998,"Medium dry)",IF(D6&gt;0,"Dry)"))))))</f>
        <v>g (0 nom.) for an estimated gravity increase of 0.0 (Dry)</v>
      </c>
      <c r="L41" s="1150"/>
      <c r="M41" s="1150"/>
      <c r="N41" s="1150"/>
      <c r="O41" s="1150"/>
      <c r="P41" s="1150"/>
      <c r="Q41" s="1150"/>
      <c r="R41" s="1150"/>
      <c r="S41" s="1150"/>
      <c r="T41" s="1150"/>
      <c r="U41" s="1273"/>
      <c r="V41" s="251"/>
      <c r="W41" s="1186" t="s">
        <v>356</v>
      </c>
      <c r="X41" s="1186"/>
      <c r="Y41" s="1186"/>
      <c r="Z41" s="177"/>
      <c r="AA41" s="620" t="s">
        <v>658</v>
      </c>
      <c r="AB41" s="621" t="s">
        <v>234</v>
      </c>
      <c r="AC41" s="628">
        <v>65</v>
      </c>
      <c r="AD41" s="628">
        <v>2</v>
      </c>
      <c r="AE41" s="628">
        <v>0.06</v>
      </c>
      <c r="AF41" s="631">
        <v>70</v>
      </c>
      <c r="AG41" s="630">
        <v>0.4</v>
      </c>
      <c r="AH41" s="628">
        <v>400</v>
      </c>
      <c r="AI41" s="628">
        <v>400</v>
      </c>
      <c r="AJ41" s="630">
        <v>0.16</v>
      </c>
      <c r="AK41" s="630">
        <v>0.8</v>
      </c>
      <c r="AL41" s="630">
        <v>0.08</v>
      </c>
      <c r="AM41" s="630">
        <v>0.36</v>
      </c>
      <c r="AN41" s="160" t="s">
        <v>399</v>
      </c>
      <c r="AO41" s="151">
        <f t="shared" si="23"/>
        <v>0</v>
      </c>
      <c r="AP41" s="161">
        <f t="shared" si="27"/>
        <v>0</v>
      </c>
      <c r="AQ41" s="162">
        <f t="shared" si="28"/>
        <v>0</v>
      </c>
      <c r="AR41" s="162">
        <f t="shared" si="29"/>
        <v>0</v>
      </c>
      <c r="AS41" s="162">
        <f t="shared" si="30"/>
        <v>0</v>
      </c>
      <c r="AT41" s="162">
        <f t="shared" si="31"/>
        <v>0</v>
      </c>
      <c r="AU41" s="161">
        <f t="shared" si="32"/>
        <v>0</v>
      </c>
      <c r="AV41" s="161">
        <f t="shared" si="33"/>
        <v>0</v>
      </c>
      <c r="AW41" s="161">
        <f t="shared" si="34"/>
        <v>0</v>
      </c>
      <c r="AX41" s="161">
        <f t="shared" si="35"/>
        <v>0</v>
      </c>
      <c r="AY41" s="161">
        <f t="shared" si="36"/>
        <v>0</v>
      </c>
      <c r="AZ41" s="165">
        <f t="shared" si="24"/>
        <v>0</v>
      </c>
      <c r="BA41" s="642">
        <v>6.28</v>
      </c>
      <c r="BB41" s="489">
        <f t="shared" si="25"/>
        <v>5.35684</v>
      </c>
      <c r="BC41" s="489">
        <f t="shared" si="26"/>
        <v>5.60804</v>
      </c>
    </row>
    <row r="42" spans="1:56" ht="14.25" customHeight="1">
      <c r="A42" s="37"/>
      <c r="B42" s="688">
        <v>0</v>
      </c>
      <c r="C42" s="494" t="str">
        <f t="shared" si="21"/>
        <v>            "              g</v>
      </c>
      <c r="D42" s="285" t="str">
        <f t="shared" si="22"/>
        <v>RED</v>
      </c>
      <c r="E42" s="537"/>
      <c r="F42" s="795"/>
      <c r="G42" s="1184" t="str">
        <f>"Assume "&amp;J41&amp;"g sugar makes approx."</f>
        <v>Assume g sugar makes approx.</v>
      </c>
      <c r="H42" s="1185"/>
      <c r="I42" s="1185"/>
      <c r="J42" s="187">
        <f>(375*J41)/(300)</f>
        <v>0</v>
      </c>
      <c r="K42" s="1290" t="str">
        <f>"ml of syrup, S.G. 1300, by adding approx. "&amp;FIXED((J42-0.58*J41),-1)&amp;"ml. of water."</f>
        <v>ml of syrup, S.G. 1300, by adding approx. 0ml. of water.</v>
      </c>
      <c r="L42" s="1290"/>
      <c r="M42" s="1290"/>
      <c r="N42" s="1290"/>
      <c r="O42" s="1290"/>
      <c r="P42" s="1290"/>
      <c r="Q42" s="1290"/>
      <c r="R42" s="1290"/>
      <c r="S42" s="1290"/>
      <c r="T42" s="1290"/>
      <c r="U42" s="1291"/>
      <c r="V42" s="251"/>
      <c r="W42" s="29"/>
      <c r="X42" s="274">
        <f>(J41*0.375/J56)</f>
        <v>0</v>
      </c>
      <c r="Y42" s="144"/>
      <c r="Z42" s="232"/>
      <c r="AA42" s="620" t="s">
        <v>817</v>
      </c>
      <c r="AB42" s="621" t="s">
        <v>231</v>
      </c>
      <c r="AC42" s="628">
        <v>65</v>
      </c>
      <c r="AD42" s="628">
        <v>2</v>
      </c>
      <c r="AE42" s="628">
        <v>0.6</v>
      </c>
      <c r="AF42" s="631">
        <v>70</v>
      </c>
      <c r="AG42" s="630">
        <v>0.4</v>
      </c>
      <c r="AH42" s="628">
        <v>400</v>
      </c>
      <c r="AI42" s="628">
        <v>400</v>
      </c>
      <c r="AJ42" s="630">
        <v>0.16</v>
      </c>
      <c r="AK42" s="630">
        <v>0.8</v>
      </c>
      <c r="AL42" s="630">
        <v>0.08</v>
      </c>
      <c r="AM42" s="630">
        <v>0.36</v>
      </c>
      <c r="AN42" s="160" t="s">
        <v>399</v>
      </c>
      <c r="AO42" s="151">
        <f t="shared" si="23"/>
        <v>0</v>
      </c>
      <c r="AP42" s="161">
        <f t="shared" si="27"/>
        <v>0</v>
      </c>
      <c r="AQ42" s="162">
        <f t="shared" si="28"/>
        <v>0</v>
      </c>
      <c r="AR42" s="162">
        <f t="shared" si="29"/>
        <v>0</v>
      </c>
      <c r="AS42" s="162">
        <f t="shared" si="30"/>
        <v>0</v>
      </c>
      <c r="AT42" s="162">
        <f t="shared" si="31"/>
        <v>0</v>
      </c>
      <c r="AU42" s="161">
        <f t="shared" si="32"/>
        <v>0</v>
      </c>
      <c r="AV42" s="161">
        <f t="shared" si="33"/>
        <v>0</v>
      </c>
      <c r="AW42" s="161">
        <f t="shared" si="34"/>
        <v>0</v>
      </c>
      <c r="AX42" s="161">
        <f t="shared" si="35"/>
        <v>0</v>
      </c>
      <c r="AY42" s="161">
        <f t="shared" si="36"/>
        <v>0</v>
      </c>
      <c r="AZ42" s="165">
        <f t="shared" si="24"/>
        <v>0</v>
      </c>
      <c r="BA42" s="483"/>
      <c r="BB42" s="483"/>
      <c r="BC42" s="483"/>
      <c r="BD42" s="29"/>
    </row>
    <row r="43" spans="1:56" ht="14.25" customHeight="1">
      <c r="A43" s="37"/>
      <c r="B43" s="688">
        <v>0</v>
      </c>
      <c r="C43" s="496" t="str">
        <f t="shared" si="21"/>
        <v>"        ml. Note the change of units </v>
      </c>
      <c r="D43" s="285" t="str">
        <f t="shared" si="22"/>
        <v>WHITE</v>
      </c>
      <c r="E43" s="537"/>
      <c r="F43" s="795"/>
      <c r="G43" s="1181" t="s">
        <v>248</v>
      </c>
      <c r="H43" s="1182"/>
      <c r="I43" s="1183"/>
      <c r="J43" s="1159" t="s">
        <v>294</v>
      </c>
      <c r="K43" s="1160"/>
      <c r="L43" s="1159" t="s">
        <v>311</v>
      </c>
      <c r="M43" s="1160"/>
      <c r="N43" s="1159" t="s">
        <v>322</v>
      </c>
      <c r="O43" s="1160"/>
      <c r="P43" s="1159" t="s">
        <v>335</v>
      </c>
      <c r="Q43" s="1160"/>
      <c r="R43" s="1159" t="s">
        <v>344</v>
      </c>
      <c r="S43" s="1160"/>
      <c r="T43" s="1159" t="s">
        <v>351</v>
      </c>
      <c r="U43" s="1160"/>
      <c r="V43" s="251"/>
      <c r="W43" s="29"/>
      <c r="X43" s="29"/>
      <c r="Y43" s="144"/>
      <c r="Z43" s="1168"/>
      <c r="AA43" s="634" t="s">
        <v>657</v>
      </c>
      <c r="AB43" s="621" t="s">
        <v>234</v>
      </c>
      <c r="AC43" s="628">
        <f aca="true" t="shared" si="37" ref="AC43:AF44">AC41*1.25</f>
        <v>81.25</v>
      </c>
      <c r="AD43" s="628">
        <f t="shared" si="37"/>
        <v>2.5</v>
      </c>
      <c r="AE43" s="628">
        <f t="shared" si="37"/>
        <v>0.075</v>
      </c>
      <c r="AF43" s="630">
        <f t="shared" si="37"/>
        <v>87.5</v>
      </c>
      <c r="AG43" s="630">
        <f aca="true" t="shared" si="38" ref="AG43:AI44">1.25*AG42</f>
        <v>0.5</v>
      </c>
      <c r="AH43" s="630">
        <f t="shared" si="38"/>
        <v>500</v>
      </c>
      <c r="AI43" s="630">
        <f t="shared" si="38"/>
        <v>500</v>
      </c>
      <c r="AJ43" s="630">
        <v>0.16</v>
      </c>
      <c r="AK43" s="630">
        <v>0.8</v>
      </c>
      <c r="AL43" s="630">
        <v>0.08</v>
      </c>
      <c r="AM43" s="630">
        <v>0.36</v>
      </c>
      <c r="AN43" s="160" t="s">
        <v>399</v>
      </c>
      <c r="AO43" s="151">
        <f t="shared" si="23"/>
        <v>0</v>
      </c>
      <c r="AP43" s="161">
        <f t="shared" si="27"/>
        <v>0</v>
      </c>
      <c r="AQ43" s="162">
        <f t="shared" si="28"/>
        <v>0</v>
      </c>
      <c r="AR43" s="162">
        <f t="shared" si="29"/>
        <v>0</v>
      </c>
      <c r="AS43" s="162">
        <f t="shared" si="30"/>
        <v>0</v>
      </c>
      <c r="AT43" s="162">
        <f t="shared" si="31"/>
        <v>0</v>
      </c>
      <c r="AU43" s="161">
        <f t="shared" si="32"/>
        <v>0</v>
      </c>
      <c r="AV43" s="161">
        <f t="shared" si="33"/>
        <v>0</v>
      </c>
      <c r="AW43" s="161">
        <f t="shared" si="34"/>
        <v>0</v>
      </c>
      <c r="AX43" s="161">
        <f t="shared" si="35"/>
        <v>0</v>
      </c>
      <c r="AY43" s="161">
        <f t="shared" si="36"/>
        <v>0</v>
      </c>
      <c r="AZ43" s="165">
        <f t="shared" si="24"/>
        <v>0</v>
      </c>
      <c r="BA43" s="1331" t="s">
        <v>674</v>
      </c>
      <c r="BB43" s="1332"/>
      <c r="BC43" s="1332"/>
      <c r="BD43" s="1332"/>
    </row>
    <row r="44" spans="1:56" ht="14.25" customHeight="1">
      <c r="A44" s="37"/>
      <c r="B44" s="688">
        <v>0</v>
      </c>
      <c r="C44" s="496" t="str">
        <f t="shared" si="21"/>
        <v>"        ml. Note the change of units </v>
      </c>
      <c r="D44" s="285" t="str">
        <f t="shared" si="22"/>
        <v>RED</v>
      </c>
      <c r="E44" s="537"/>
      <c r="F44" s="795"/>
      <c r="G44" s="1181" t="s">
        <v>49</v>
      </c>
      <c r="H44" s="1182"/>
      <c r="I44" s="1183"/>
      <c r="J44" s="1159" t="s">
        <v>295</v>
      </c>
      <c r="K44" s="1160"/>
      <c r="L44" s="1164" t="s">
        <v>312</v>
      </c>
      <c r="M44" s="1160"/>
      <c r="N44" s="1164" t="s">
        <v>323</v>
      </c>
      <c r="O44" s="1160"/>
      <c r="P44" s="1164" t="s">
        <v>336</v>
      </c>
      <c r="Q44" s="1160"/>
      <c r="R44" s="1164" t="s">
        <v>345</v>
      </c>
      <c r="S44" s="1160"/>
      <c r="T44" s="1164" t="s">
        <v>352</v>
      </c>
      <c r="U44" s="1160"/>
      <c r="V44" s="251"/>
      <c r="W44" s="29"/>
      <c r="X44" s="29"/>
      <c r="Y44" s="144"/>
      <c r="Z44" s="1168"/>
      <c r="AA44" s="634" t="s">
        <v>657</v>
      </c>
      <c r="AB44" s="621" t="s">
        <v>231</v>
      </c>
      <c r="AC44" s="628">
        <f t="shared" si="37"/>
        <v>81.25</v>
      </c>
      <c r="AD44" s="628">
        <f t="shared" si="37"/>
        <v>2.5</v>
      </c>
      <c r="AE44" s="628">
        <f t="shared" si="37"/>
        <v>0.75</v>
      </c>
      <c r="AF44" s="630">
        <f t="shared" si="37"/>
        <v>87.5</v>
      </c>
      <c r="AG44" s="630">
        <f t="shared" si="38"/>
        <v>0.625</v>
      </c>
      <c r="AH44" s="630">
        <f t="shared" si="38"/>
        <v>625</v>
      </c>
      <c r="AI44" s="630">
        <f t="shared" si="38"/>
        <v>625</v>
      </c>
      <c r="AJ44" s="630">
        <v>0.16</v>
      </c>
      <c r="AK44" s="630">
        <v>0.8</v>
      </c>
      <c r="AL44" s="630">
        <v>0.08</v>
      </c>
      <c r="AM44" s="630">
        <v>0.36</v>
      </c>
      <c r="AN44" s="160" t="s">
        <v>399</v>
      </c>
      <c r="AO44" s="151">
        <f t="shared" si="23"/>
        <v>0</v>
      </c>
      <c r="AP44" s="161">
        <f t="shared" si="27"/>
        <v>0</v>
      </c>
      <c r="AQ44" s="162">
        <f t="shared" si="28"/>
        <v>0</v>
      </c>
      <c r="AR44" s="162">
        <f t="shared" si="29"/>
        <v>0</v>
      </c>
      <c r="AS44" s="162">
        <f t="shared" si="30"/>
        <v>0</v>
      </c>
      <c r="AT44" s="162">
        <f t="shared" si="31"/>
        <v>0</v>
      </c>
      <c r="AU44" s="161">
        <f t="shared" si="32"/>
        <v>0</v>
      </c>
      <c r="AV44" s="161">
        <f t="shared" si="33"/>
        <v>0</v>
      </c>
      <c r="AW44" s="161">
        <f t="shared" si="34"/>
        <v>0</v>
      </c>
      <c r="AX44" s="161">
        <f t="shared" si="35"/>
        <v>0</v>
      </c>
      <c r="AY44" s="161">
        <f t="shared" si="36"/>
        <v>0</v>
      </c>
      <c r="AZ44" s="165">
        <f t="shared" si="24"/>
        <v>0</v>
      </c>
      <c r="BA44" s="497" t="s">
        <v>333</v>
      </c>
      <c r="BB44" s="1328" t="s">
        <v>410</v>
      </c>
      <c r="BC44" s="1328"/>
      <c r="BD44" s="1328"/>
    </row>
    <row r="45" spans="1:56" ht="14.25" customHeight="1">
      <c r="A45" s="37"/>
      <c r="B45" s="688">
        <v>0.1</v>
      </c>
      <c r="C45" s="494" t="str">
        <f t="shared" si="21"/>
        <v>GRAPEFRUIT</v>
      </c>
      <c r="D45" s="285" t="str">
        <f t="shared" si="22"/>
        <v>FLESH</v>
      </c>
      <c r="E45" s="537"/>
      <c r="F45" s="16"/>
      <c r="G45" s="1181" t="s">
        <v>249</v>
      </c>
      <c r="H45" s="1182"/>
      <c r="I45" s="1183"/>
      <c r="J45" s="1164" t="s">
        <v>296</v>
      </c>
      <c r="K45" s="1160"/>
      <c r="L45" s="1164" t="s">
        <v>313</v>
      </c>
      <c r="M45" s="1160"/>
      <c r="N45" s="1164" t="s">
        <v>324</v>
      </c>
      <c r="O45" s="1160"/>
      <c r="P45" s="1164" t="s">
        <v>337</v>
      </c>
      <c r="Q45" s="1160"/>
      <c r="R45" s="1159" t="s">
        <v>346</v>
      </c>
      <c r="S45" s="1160"/>
      <c r="T45" s="1164" t="s">
        <v>353</v>
      </c>
      <c r="U45" s="1160"/>
      <c r="V45" s="251"/>
      <c r="W45" s="29"/>
      <c r="X45" s="29"/>
      <c r="Y45" s="144"/>
      <c r="Z45" s="232"/>
      <c r="AA45" s="635" t="s">
        <v>171</v>
      </c>
      <c r="AB45" s="621" t="s">
        <v>228</v>
      </c>
      <c r="AC45" s="628">
        <v>6.8</v>
      </c>
      <c r="AD45" s="628">
        <v>2</v>
      </c>
      <c r="AE45" s="630">
        <v>0.1</v>
      </c>
      <c r="AF45" s="629">
        <v>8</v>
      </c>
      <c r="AG45" s="628">
        <v>1.6</v>
      </c>
      <c r="AH45" s="628">
        <v>50</v>
      </c>
      <c r="AI45" s="628">
        <v>135</v>
      </c>
      <c r="AJ45" s="628">
        <v>0.036</v>
      </c>
      <c r="AK45" s="628">
        <v>0.25</v>
      </c>
      <c r="AL45" s="628">
        <v>0.283</v>
      </c>
      <c r="AM45" s="628">
        <v>0.042</v>
      </c>
      <c r="AN45" s="160" t="s">
        <v>397</v>
      </c>
      <c r="AO45" s="151">
        <f t="shared" si="23"/>
        <v>0</v>
      </c>
      <c r="AP45" s="161">
        <f t="shared" si="27"/>
        <v>0</v>
      </c>
      <c r="AQ45" s="162">
        <f t="shared" si="28"/>
        <v>0</v>
      </c>
      <c r="AR45" s="162">
        <f t="shared" si="29"/>
        <v>0</v>
      </c>
      <c r="AS45" s="162">
        <f t="shared" si="30"/>
        <v>0</v>
      </c>
      <c r="AT45" s="162">
        <f t="shared" si="31"/>
        <v>0</v>
      </c>
      <c r="AU45" s="161">
        <f t="shared" si="32"/>
        <v>0</v>
      </c>
      <c r="AV45" s="161">
        <f t="shared" si="33"/>
        <v>0</v>
      </c>
      <c r="AW45" s="161">
        <f t="shared" si="34"/>
        <v>0</v>
      </c>
      <c r="AX45" s="161">
        <f t="shared" si="35"/>
        <v>0</v>
      </c>
      <c r="AY45" s="161">
        <f t="shared" si="36"/>
        <v>0</v>
      </c>
      <c r="AZ45" s="165">
        <f t="shared" si="24"/>
        <v>0</v>
      </c>
      <c r="BA45" s="497" t="s">
        <v>405</v>
      </c>
      <c r="BB45" s="1328" t="s">
        <v>411</v>
      </c>
      <c r="BC45" s="1328"/>
      <c r="BD45" s="1328"/>
    </row>
    <row r="46" spans="1:56" ht="14.25" customHeight="1">
      <c r="A46" s="37"/>
      <c r="B46" s="688">
        <v>0</v>
      </c>
      <c r="C46" s="494" t="str">
        <f t="shared" si="21"/>
        <v>          "</v>
      </c>
      <c r="D46" s="285" t="str">
        <f t="shared" si="22"/>
        <v>JUICE</v>
      </c>
      <c r="E46" s="537"/>
      <c r="F46" s="16"/>
      <c r="G46" s="1181" t="s">
        <v>250</v>
      </c>
      <c r="H46" s="1182"/>
      <c r="I46" s="1183"/>
      <c r="J46" s="1141" t="s">
        <v>297</v>
      </c>
      <c r="K46" s="1142"/>
      <c r="L46" s="1141" t="s">
        <v>314</v>
      </c>
      <c r="M46" s="1142"/>
      <c r="N46" s="1141" t="s">
        <v>325</v>
      </c>
      <c r="O46" s="1142"/>
      <c r="P46" s="1141" t="s">
        <v>338</v>
      </c>
      <c r="Q46" s="1142"/>
      <c r="R46" s="1141" t="s">
        <v>347</v>
      </c>
      <c r="S46" s="1142"/>
      <c r="T46" s="1141" t="s">
        <v>354</v>
      </c>
      <c r="U46" s="1142"/>
      <c r="V46" s="251"/>
      <c r="W46" s="29"/>
      <c r="X46" s="29"/>
      <c r="Y46" s="29"/>
      <c r="Z46" s="232"/>
      <c r="AA46" s="635" t="s">
        <v>599</v>
      </c>
      <c r="AB46" s="621" t="s">
        <v>232</v>
      </c>
      <c r="AC46" s="628">
        <v>9</v>
      </c>
      <c r="AD46" s="628">
        <v>1.8</v>
      </c>
      <c r="AE46" s="630">
        <v>0.01</v>
      </c>
      <c r="AF46" s="629">
        <v>9.2</v>
      </c>
      <c r="AG46" s="630">
        <v>0.2</v>
      </c>
      <c r="AH46" s="630">
        <v>50</v>
      </c>
      <c r="AI46" s="628">
        <v>162</v>
      </c>
      <c r="AJ46" s="628">
        <v>0.04</v>
      </c>
      <c r="AK46" s="628">
        <v>0.2</v>
      </c>
      <c r="AL46" s="628">
        <v>0.189</v>
      </c>
      <c r="AM46" s="628">
        <v>0.044</v>
      </c>
      <c r="AN46" s="160" t="s">
        <v>397</v>
      </c>
      <c r="AO46" s="151">
        <f t="shared" si="23"/>
        <v>0</v>
      </c>
      <c r="AP46" s="161">
        <f t="shared" si="27"/>
        <v>0</v>
      </c>
      <c r="AQ46" s="162">
        <f t="shared" si="28"/>
        <v>0</v>
      </c>
      <c r="AR46" s="162">
        <f t="shared" si="29"/>
        <v>0</v>
      </c>
      <c r="AS46" s="162">
        <f t="shared" si="30"/>
        <v>0</v>
      </c>
      <c r="AT46" s="162">
        <f t="shared" si="31"/>
        <v>0</v>
      </c>
      <c r="AU46" s="161">
        <f t="shared" si="32"/>
        <v>0</v>
      </c>
      <c r="AV46" s="161">
        <f t="shared" si="33"/>
        <v>0</v>
      </c>
      <c r="AW46" s="161">
        <f t="shared" si="34"/>
        <v>0</v>
      </c>
      <c r="AX46" s="161">
        <f t="shared" si="35"/>
        <v>0</v>
      </c>
      <c r="AY46" s="161">
        <f t="shared" si="36"/>
        <v>0</v>
      </c>
      <c r="AZ46" s="165">
        <f t="shared" si="24"/>
        <v>0</v>
      </c>
      <c r="BA46" s="497" t="s">
        <v>339</v>
      </c>
      <c r="BB46" s="1328" t="s">
        <v>412</v>
      </c>
      <c r="BC46" s="1328"/>
      <c r="BD46" s="1328"/>
    </row>
    <row r="47" spans="1:56" ht="14.25" customHeight="1">
      <c r="A47" s="37"/>
      <c r="B47" s="688">
        <v>0.16</v>
      </c>
      <c r="C47" s="494" t="str">
        <f t="shared" si="21"/>
        <v>GREENGAGE</v>
      </c>
      <c r="D47" s="285" t="str">
        <f t="shared" si="22"/>
        <v>-</v>
      </c>
      <c r="E47" s="537"/>
      <c r="F47" s="16"/>
      <c r="G47" s="782"/>
      <c r="H47" s="782"/>
      <c r="I47" s="512"/>
      <c r="J47" s="512"/>
      <c r="K47" s="513"/>
      <c r="L47" s="512"/>
      <c r="M47" s="512"/>
      <c r="N47" s="514"/>
      <c r="O47" s="514"/>
      <c r="P47" s="515"/>
      <c r="Q47" s="515"/>
      <c r="R47" s="515"/>
      <c r="S47" s="515"/>
      <c r="T47" s="515"/>
      <c r="U47" s="216"/>
      <c r="V47" s="216"/>
      <c r="W47" s="29"/>
      <c r="X47" s="29"/>
      <c r="Y47" s="144"/>
      <c r="Z47" s="232"/>
      <c r="AA47" s="635" t="s">
        <v>172</v>
      </c>
      <c r="AB47" s="621" t="s">
        <v>595</v>
      </c>
      <c r="AC47" s="628">
        <v>11</v>
      </c>
      <c r="AD47" s="628">
        <v>1.2</v>
      </c>
      <c r="AE47" s="630">
        <v>0.1</v>
      </c>
      <c r="AF47" s="631">
        <v>12</v>
      </c>
      <c r="AG47" s="630">
        <v>0.9</v>
      </c>
      <c r="AH47" s="628">
        <v>120</v>
      </c>
      <c r="AI47" s="630">
        <v>155</v>
      </c>
      <c r="AJ47" s="630">
        <v>0.028</v>
      </c>
      <c r="AK47" s="630">
        <v>0.417</v>
      </c>
      <c r="AL47" s="630">
        <v>0.135</v>
      </c>
      <c r="AM47" s="630">
        <v>0.029</v>
      </c>
      <c r="AN47" s="160" t="s">
        <v>396</v>
      </c>
      <c r="AO47" s="151">
        <f t="shared" si="23"/>
        <v>0</v>
      </c>
      <c r="AP47" s="161">
        <f t="shared" si="27"/>
        <v>0</v>
      </c>
      <c r="AQ47" s="162">
        <f t="shared" si="28"/>
        <v>0</v>
      </c>
      <c r="AR47" s="162">
        <f t="shared" si="29"/>
        <v>0</v>
      </c>
      <c r="AS47" s="162">
        <f t="shared" si="30"/>
        <v>0</v>
      </c>
      <c r="AT47" s="162">
        <f t="shared" si="31"/>
        <v>0</v>
      </c>
      <c r="AU47" s="161">
        <f t="shared" si="32"/>
        <v>0</v>
      </c>
      <c r="AV47" s="161">
        <f t="shared" si="33"/>
        <v>0</v>
      </c>
      <c r="AW47" s="161">
        <f t="shared" si="34"/>
        <v>0</v>
      </c>
      <c r="AX47" s="161">
        <f t="shared" si="35"/>
        <v>0</v>
      </c>
      <c r="AY47" s="161">
        <f t="shared" si="36"/>
        <v>0</v>
      </c>
      <c r="AZ47" s="165">
        <f t="shared" si="24"/>
        <v>0</v>
      </c>
      <c r="BA47" s="497" t="s">
        <v>343</v>
      </c>
      <c r="BB47" s="1328" t="s">
        <v>413</v>
      </c>
      <c r="BC47" s="1328"/>
      <c r="BD47" s="1328"/>
    </row>
    <row r="48" spans="1:56" ht="14.25" customHeight="1">
      <c r="A48" s="37"/>
      <c r="B48" s="688">
        <v>0.14</v>
      </c>
      <c r="C48" s="494" t="str">
        <f t="shared" si="21"/>
        <v>GUAVA</v>
      </c>
      <c r="D48" s="285" t="str">
        <f t="shared" si="22"/>
        <v>-</v>
      </c>
      <c r="E48" s="537"/>
      <c r="F48" s="16"/>
      <c r="G48" s="782"/>
      <c r="H48" s="782"/>
      <c r="I48" s="782"/>
      <c r="J48" s="782"/>
      <c r="K48" s="782"/>
      <c r="L48" s="782"/>
      <c r="M48" s="782"/>
      <c r="N48" s="757"/>
      <c r="O48" s="757"/>
      <c r="P48" s="757"/>
      <c r="Q48" s="782"/>
      <c r="R48" s="782"/>
      <c r="S48" s="782"/>
      <c r="T48" s="782"/>
      <c r="U48" s="782"/>
      <c r="V48" s="16"/>
      <c r="W48" s="236"/>
      <c r="X48" s="236"/>
      <c r="Y48" s="236"/>
      <c r="Z48" s="232"/>
      <c r="AA48" s="635" t="s">
        <v>173</v>
      </c>
      <c r="AB48" s="621" t="s">
        <v>595</v>
      </c>
      <c r="AC48" s="628">
        <v>8.6</v>
      </c>
      <c r="AD48" s="628">
        <v>0.4</v>
      </c>
      <c r="AE48" s="630">
        <v>0.1</v>
      </c>
      <c r="AF48" s="629">
        <v>14</v>
      </c>
      <c r="AG48" s="630">
        <v>0.5</v>
      </c>
      <c r="AH48" s="630">
        <v>50</v>
      </c>
      <c r="AI48" s="628">
        <v>290</v>
      </c>
      <c r="AJ48" s="628">
        <v>0.067</v>
      </c>
      <c r="AK48" s="628">
        <v>1.04</v>
      </c>
      <c r="AL48" s="628">
        <v>0.451</v>
      </c>
      <c r="AM48" s="628">
        <v>0.11</v>
      </c>
      <c r="AN48" s="160"/>
      <c r="AO48" s="151">
        <f t="shared" si="23"/>
        <v>0</v>
      </c>
      <c r="AP48" s="161">
        <f t="shared" si="27"/>
        <v>0</v>
      </c>
      <c r="AQ48" s="162">
        <f t="shared" si="28"/>
        <v>0</v>
      </c>
      <c r="AR48" s="162">
        <f t="shared" si="29"/>
        <v>0</v>
      </c>
      <c r="AS48" s="162">
        <f t="shared" si="30"/>
        <v>0</v>
      </c>
      <c r="AT48" s="162">
        <f t="shared" si="31"/>
        <v>0</v>
      </c>
      <c r="AU48" s="161">
        <f t="shared" si="32"/>
        <v>0</v>
      </c>
      <c r="AV48" s="161">
        <f t="shared" si="33"/>
        <v>0</v>
      </c>
      <c r="AW48" s="161">
        <f t="shared" si="34"/>
        <v>0</v>
      </c>
      <c r="AX48" s="161">
        <f t="shared" si="35"/>
        <v>0</v>
      </c>
      <c r="AY48" s="161">
        <f t="shared" si="36"/>
        <v>0</v>
      </c>
      <c r="AZ48" s="165">
        <f t="shared" si="24"/>
        <v>0</v>
      </c>
      <c r="BA48" s="497" t="s">
        <v>349</v>
      </c>
      <c r="BB48" s="1333" t="s">
        <v>414</v>
      </c>
      <c r="BC48" s="1333"/>
      <c r="BD48" s="1333"/>
    </row>
    <row r="49" spans="1:56" ht="14.25" customHeight="1">
      <c r="A49" s="37"/>
      <c r="B49" s="688">
        <v>0.15</v>
      </c>
      <c r="C49" s="494" t="str">
        <f t="shared" si="21"/>
        <v>HONEY (1 lb = 454g)</v>
      </c>
      <c r="D49" s="285" t="str">
        <f t="shared" si="22"/>
        <v>-</v>
      </c>
      <c r="E49" s="537"/>
      <c r="F49" s="16"/>
      <c r="G49" s="1337" t="s">
        <v>709</v>
      </c>
      <c r="H49" s="1337"/>
      <c r="I49" s="1337"/>
      <c r="J49" s="782"/>
      <c r="K49" s="782"/>
      <c r="L49" s="782"/>
      <c r="M49" s="757"/>
      <c r="N49" s="757"/>
      <c r="O49" s="757"/>
      <c r="P49" s="757"/>
      <c r="Q49" s="757"/>
      <c r="R49" s="757"/>
      <c r="S49" s="757"/>
      <c r="T49" s="757"/>
      <c r="U49" s="757"/>
      <c r="V49" s="252"/>
      <c r="W49" s="237"/>
      <c r="X49" s="237"/>
      <c r="Y49" s="237"/>
      <c r="Z49" s="232"/>
      <c r="AA49" s="635" t="s">
        <v>610</v>
      </c>
      <c r="AB49" s="621" t="s">
        <v>595</v>
      </c>
      <c r="AC49" s="628">
        <v>80</v>
      </c>
      <c r="AD49" s="628">
        <v>0.5</v>
      </c>
      <c r="AE49" s="628">
        <v>0</v>
      </c>
      <c r="AF49" s="631">
        <v>80</v>
      </c>
      <c r="AG49" s="628">
        <v>0.01</v>
      </c>
      <c r="AH49" s="630">
        <v>0</v>
      </c>
      <c r="AI49" s="628">
        <v>52</v>
      </c>
      <c r="AJ49" s="628">
        <v>0</v>
      </c>
      <c r="AK49" s="628">
        <v>0.121</v>
      </c>
      <c r="AL49" s="628">
        <v>0.068</v>
      </c>
      <c r="AM49" s="628">
        <v>0.024</v>
      </c>
      <c r="AN49" s="160"/>
      <c r="AO49" s="151">
        <f t="shared" si="23"/>
        <v>0</v>
      </c>
      <c r="AP49" s="161">
        <f t="shared" si="27"/>
        <v>0</v>
      </c>
      <c r="AQ49" s="162">
        <f t="shared" si="28"/>
        <v>0</v>
      </c>
      <c r="AR49" s="162">
        <f t="shared" si="29"/>
        <v>0</v>
      </c>
      <c r="AS49" s="162">
        <f t="shared" si="30"/>
        <v>0</v>
      </c>
      <c r="AT49" s="162">
        <f t="shared" si="31"/>
        <v>0</v>
      </c>
      <c r="AU49" s="161">
        <f t="shared" si="32"/>
        <v>0</v>
      </c>
      <c r="AV49" s="161">
        <f t="shared" si="33"/>
        <v>0</v>
      </c>
      <c r="AW49" s="161">
        <f t="shared" si="34"/>
        <v>0</v>
      </c>
      <c r="AX49" s="161">
        <f t="shared" si="35"/>
        <v>0</v>
      </c>
      <c r="AY49" s="161">
        <f t="shared" si="36"/>
        <v>0</v>
      </c>
      <c r="AZ49" s="165">
        <f t="shared" si="24"/>
        <v>0</v>
      </c>
      <c r="BA49" s="497" t="s">
        <v>406</v>
      </c>
      <c r="BB49" s="1328" t="s">
        <v>415</v>
      </c>
      <c r="BC49" s="1328"/>
      <c r="BD49" s="1328"/>
    </row>
    <row r="50" spans="1:56" ht="14.25" customHeight="1">
      <c r="A50" s="37"/>
      <c r="B50" s="688">
        <v>0.16</v>
      </c>
      <c r="C50" s="494" t="str">
        <f t="shared" si="21"/>
        <v>KIWIFRUIT</v>
      </c>
      <c r="D50" s="285" t="str">
        <f t="shared" si="22"/>
        <v>-</v>
      </c>
      <c r="E50" s="537"/>
      <c r="F50" s="16"/>
      <c r="G50" s="1345" t="s">
        <v>712</v>
      </c>
      <c r="H50" s="1345"/>
      <c r="I50" s="1345"/>
      <c r="J50" s="1345"/>
      <c r="K50" s="1345"/>
      <c r="L50" s="1345"/>
      <c r="M50" s="1345"/>
      <c r="N50" s="1345"/>
      <c r="O50" s="1345"/>
      <c r="P50" s="1345"/>
      <c r="Q50" s="1345"/>
      <c r="R50" s="1345"/>
      <c r="S50" s="1345"/>
      <c r="T50" s="757"/>
      <c r="U50" s="757"/>
      <c r="V50" s="253"/>
      <c r="W50" s="29"/>
      <c r="X50" s="29"/>
      <c r="Y50" s="29"/>
      <c r="Z50" s="232"/>
      <c r="AA50" s="635" t="s">
        <v>174</v>
      </c>
      <c r="AB50" s="621" t="s">
        <v>595</v>
      </c>
      <c r="AC50" s="628">
        <v>14</v>
      </c>
      <c r="AD50" s="628">
        <v>3</v>
      </c>
      <c r="AE50" s="630">
        <v>0.1</v>
      </c>
      <c r="AF50" s="629">
        <v>15</v>
      </c>
      <c r="AG50" s="630">
        <v>0.5</v>
      </c>
      <c r="AH50" s="630">
        <v>50</v>
      </c>
      <c r="AI50" s="628">
        <v>312</v>
      </c>
      <c r="AJ50" s="628">
        <v>0.027</v>
      </c>
      <c r="AK50" s="628">
        <v>0.341</v>
      </c>
      <c r="AL50" s="628">
        <v>0.183</v>
      </c>
      <c r="AM50" s="628">
        <v>0.063</v>
      </c>
      <c r="AN50" s="160"/>
      <c r="AO50" s="151">
        <f t="shared" si="23"/>
        <v>0</v>
      </c>
      <c r="AP50" s="161">
        <f t="shared" si="27"/>
        <v>0</v>
      </c>
      <c r="AQ50" s="162">
        <f t="shared" si="28"/>
        <v>0</v>
      </c>
      <c r="AR50" s="162">
        <f t="shared" si="29"/>
        <v>0</v>
      </c>
      <c r="AS50" s="162">
        <f t="shared" si="30"/>
        <v>0</v>
      </c>
      <c r="AT50" s="162">
        <f t="shared" si="31"/>
        <v>0</v>
      </c>
      <c r="AU50" s="161">
        <f t="shared" si="32"/>
        <v>0</v>
      </c>
      <c r="AV50" s="161">
        <f t="shared" si="33"/>
        <v>0</v>
      </c>
      <c r="AW50" s="161">
        <f t="shared" si="34"/>
        <v>0</v>
      </c>
      <c r="AX50" s="161">
        <f t="shared" si="35"/>
        <v>0</v>
      </c>
      <c r="AY50" s="161">
        <f t="shared" si="36"/>
        <v>0</v>
      </c>
      <c r="AZ50" s="165">
        <f t="shared" si="24"/>
        <v>0</v>
      </c>
      <c r="BA50" s="497" t="s">
        <v>407</v>
      </c>
      <c r="BB50" s="1328" t="s">
        <v>416</v>
      </c>
      <c r="BC50" s="1328"/>
      <c r="BD50" s="1328"/>
    </row>
    <row r="51" spans="1:56" ht="14.25" customHeight="1">
      <c r="A51" s="37"/>
      <c r="B51" s="688">
        <v>0</v>
      </c>
      <c r="C51" s="494" t="str">
        <f t="shared" si="21"/>
        <v>LEMON</v>
      </c>
      <c r="D51" s="285" t="str">
        <f t="shared" si="22"/>
        <v>JUICE</v>
      </c>
      <c r="E51" s="537"/>
      <c r="F51" s="16"/>
      <c r="G51" s="1342" t="s">
        <v>711</v>
      </c>
      <c r="H51" s="1342"/>
      <c r="I51" s="1342"/>
      <c r="J51" s="271">
        <f>(O25+W12+10)/1000</f>
        <v>4.195</v>
      </c>
      <c r="K51" s="1143" t="s">
        <v>710</v>
      </c>
      <c r="L51" s="1143"/>
      <c r="M51" s="1143"/>
      <c r="N51" s="1143"/>
      <c r="O51" s="1143"/>
      <c r="P51" s="1143"/>
      <c r="Q51" s="1143"/>
      <c r="R51" s="1143"/>
      <c r="S51" s="1143"/>
      <c r="T51" s="1143"/>
      <c r="U51" s="1143"/>
      <c r="V51" s="253"/>
      <c r="W51" s="29"/>
      <c r="X51" s="29"/>
      <c r="Y51" s="29"/>
      <c r="Z51" s="232"/>
      <c r="AA51" s="635" t="s">
        <v>175</v>
      </c>
      <c r="AB51" s="621" t="s">
        <v>232</v>
      </c>
      <c r="AC51" s="628">
        <v>1.5</v>
      </c>
      <c r="AD51" s="628">
        <v>4.3</v>
      </c>
      <c r="AE51" s="630">
        <v>0.01</v>
      </c>
      <c r="AF51" s="629">
        <v>9</v>
      </c>
      <c r="AG51" s="630">
        <v>0.2</v>
      </c>
      <c r="AH51" s="628">
        <v>150</v>
      </c>
      <c r="AI51" s="628">
        <v>124</v>
      </c>
      <c r="AJ51" s="628">
        <v>0.03</v>
      </c>
      <c r="AK51" s="628">
        <v>0.1</v>
      </c>
      <c r="AL51" s="628">
        <v>0.103</v>
      </c>
      <c r="AM51" s="628">
        <v>0</v>
      </c>
      <c r="AN51" s="160" t="s">
        <v>397</v>
      </c>
      <c r="AO51" s="151">
        <f t="shared" si="23"/>
        <v>0</v>
      </c>
      <c r="AP51" s="161">
        <f t="shared" si="27"/>
        <v>0</v>
      </c>
      <c r="AQ51" s="162">
        <f t="shared" si="28"/>
        <v>0</v>
      </c>
      <c r="AR51" s="162">
        <f t="shared" si="29"/>
        <v>0</v>
      </c>
      <c r="AS51" s="162">
        <f t="shared" si="30"/>
        <v>0</v>
      </c>
      <c r="AT51" s="162">
        <f t="shared" si="31"/>
        <v>0</v>
      </c>
      <c r="AU51" s="161">
        <f t="shared" si="32"/>
        <v>0</v>
      </c>
      <c r="AV51" s="161">
        <f t="shared" si="33"/>
        <v>0</v>
      </c>
      <c r="AW51" s="161">
        <f t="shared" si="34"/>
        <v>0</v>
      </c>
      <c r="AX51" s="161">
        <f t="shared" si="35"/>
        <v>0</v>
      </c>
      <c r="AY51" s="161">
        <f t="shared" si="36"/>
        <v>0</v>
      </c>
      <c r="AZ51" s="165">
        <f t="shared" si="24"/>
        <v>0</v>
      </c>
      <c r="BA51" s="497" t="s">
        <v>408</v>
      </c>
      <c r="BB51" s="1328" t="s">
        <v>417</v>
      </c>
      <c r="BC51" s="1328"/>
      <c r="BD51" s="1328"/>
    </row>
    <row r="52" spans="1:55" ht="14.25" customHeight="1">
      <c r="A52" s="37"/>
      <c r="B52" s="688">
        <v>0.19</v>
      </c>
      <c r="C52" s="494" t="str">
        <f t="shared" si="21"/>
        <v>LITCHI (LYCHEE)</v>
      </c>
      <c r="D52" s="285" t="str">
        <f t="shared" si="22"/>
        <v>-</v>
      </c>
      <c r="E52" s="537"/>
      <c r="F52" s="16"/>
      <c r="G52" s="1140" t="s">
        <v>326</v>
      </c>
      <c r="H52" s="1140"/>
      <c r="I52" s="1140"/>
      <c r="J52" s="272">
        <f>J60-J51</f>
        <v>0.5787999999999993</v>
      </c>
      <c r="K52" s="1167" t="s">
        <v>715</v>
      </c>
      <c r="L52" s="1167"/>
      <c r="M52" s="1167"/>
      <c r="N52" s="1167"/>
      <c r="O52" s="1167"/>
      <c r="P52" s="1167"/>
      <c r="Q52" s="1167"/>
      <c r="R52" s="1167"/>
      <c r="S52" s="1167"/>
      <c r="T52" s="1167"/>
      <c r="U52" s="1167"/>
      <c r="V52" s="735"/>
      <c r="W52" s="735"/>
      <c r="X52" s="735"/>
      <c r="Y52" s="735"/>
      <c r="Z52" s="735"/>
      <c r="AA52" s="635" t="s">
        <v>176</v>
      </c>
      <c r="AB52" s="621" t="s">
        <v>595</v>
      </c>
      <c r="AC52" s="628">
        <v>15.2</v>
      </c>
      <c r="AD52" s="628">
        <v>0.3</v>
      </c>
      <c r="AE52" s="630">
        <v>0.1</v>
      </c>
      <c r="AF52" s="629">
        <v>16.5</v>
      </c>
      <c r="AG52" s="630">
        <v>0.5</v>
      </c>
      <c r="AH52" s="630">
        <v>50</v>
      </c>
      <c r="AI52" s="628">
        <v>171</v>
      </c>
      <c r="AJ52" s="628">
        <v>0.011</v>
      </c>
      <c r="AK52" s="628">
        <v>0.603</v>
      </c>
      <c r="AL52" s="628">
        <v>0</v>
      </c>
      <c r="AM52" s="628">
        <v>0.1</v>
      </c>
      <c r="AN52" s="160"/>
      <c r="AO52" s="151">
        <f t="shared" si="23"/>
        <v>0</v>
      </c>
      <c r="AP52" s="161">
        <f t="shared" si="27"/>
        <v>0</v>
      </c>
      <c r="AQ52" s="162">
        <f t="shared" si="28"/>
        <v>0</v>
      </c>
      <c r="AR52" s="162">
        <f t="shared" si="29"/>
        <v>0</v>
      </c>
      <c r="AS52" s="162">
        <f t="shared" si="30"/>
        <v>0</v>
      </c>
      <c r="AT52" s="162">
        <f t="shared" si="31"/>
        <v>0</v>
      </c>
      <c r="AU52" s="161">
        <f t="shared" si="32"/>
        <v>0</v>
      </c>
      <c r="AV52" s="161">
        <f t="shared" si="33"/>
        <v>0</v>
      </c>
      <c r="AW52" s="161">
        <f t="shared" si="34"/>
        <v>0</v>
      </c>
      <c r="AX52" s="161">
        <f t="shared" si="35"/>
        <v>0</v>
      </c>
      <c r="AY52" s="161">
        <f t="shared" si="36"/>
        <v>0</v>
      </c>
      <c r="AZ52" s="165">
        <f t="shared" si="24"/>
        <v>0</v>
      </c>
      <c r="BA52" s="478"/>
      <c r="BB52" s="478"/>
      <c r="BC52" s="478"/>
    </row>
    <row r="53" spans="1:55" ht="14.25" customHeight="1">
      <c r="A53" s="37"/>
      <c r="B53" s="688">
        <v>0.15</v>
      </c>
      <c r="C53" s="494" t="str">
        <f t="shared" si="21"/>
        <v>LOGANBERRY</v>
      </c>
      <c r="D53" s="285" t="str">
        <f t="shared" si="22"/>
        <v>-</v>
      </c>
      <c r="E53" s="537"/>
      <c r="F53" s="782"/>
      <c r="G53" s="782"/>
      <c r="H53" s="782"/>
      <c r="I53" s="782"/>
      <c r="J53" s="782"/>
      <c r="K53" s="1167"/>
      <c r="L53" s="1167"/>
      <c r="M53" s="1167"/>
      <c r="N53" s="1167"/>
      <c r="O53" s="1167"/>
      <c r="P53" s="1167"/>
      <c r="Q53" s="1167"/>
      <c r="R53" s="1167"/>
      <c r="S53" s="1167"/>
      <c r="T53" s="1167"/>
      <c r="U53" s="1167"/>
      <c r="V53" s="254"/>
      <c r="W53" s="144"/>
      <c r="X53" s="144"/>
      <c r="Y53" s="138"/>
      <c r="Z53" s="232"/>
      <c r="AA53" s="635" t="s">
        <v>177</v>
      </c>
      <c r="AB53" s="621" t="s">
        <v>595</v>
      </c>
      <c r="AC53" s="628">
        <v>5</v>
      </c>
      <c r="AD53" s="628">
        <v>2</v>
      </c>
      <c r="AE53" s="628">
        <v>0.2</v>
      </c>
      <c r="AF53" s="629">
        <v>15</v>
      </c>
      <c r="AG53" s="628">
        <v>0.6</v>
      </c>
      <c r="AH53" s="628">
        <v>180</v>
      </c>
      <c r="AI53" s="628">
        <v>266</v>
      </c>
      <c r="AJ53" s="628">
        <v>0.03</v>
      </c>
      <c r="AK53" s="628">
        <v>0.3</v>
      </c>
      <c r="AL53" s="630">
        <v>0</v>
      </c>
      <c r="AM53" s="628">
        <v>0</v>
      </c>
      <c r="AN53" s="160" t="s">
        <v>397</v>
      </c>
      <c r="AO53" s="151">
        <f t="shared" si="23"/>
        <v>0</v>
      </c>
      <c r="AP53" s="161">
        <f t="shared" si="27"/>
        <v>0</v>
      </c>
      <c r="AQ53" s="162">
        <f t="shared" si="28"/>
        <v>0</v>
      </c>
      <c r="AR53" s="162">
        <f t="shared" si="29"/>
        <v>0</v>
      </c>
      <c r="AS53" s="162">
        <f t="shared" si="30"/>
        <v>0</v>
      </c>
      <c r="AT53" s="162">
        <f t="shared" si="31"/>
        <v>0</v>
      </c>
      <c r="AU53" s="161">
        <f t="shared" si="32"/>
        <v>0</v>
      </c>
      <c r="AV53" s="161">
        <f t="shared" si="33"/>
        <v>0</v>
      </c>
      <c r="AW53" s="161">
        <f t="shared" si="34"/>
        <v>0</v>
      </c>
      <c r="AX53" s="161">
        <f t="shared" si="35"/>
        <v>0</v>
      </c>
      <c r="AY53" s="161">
        <f t="shared" si="36"/>
        <v>0</v>
      </c>
      <c r="AZ53" s="165">
        <f t="shared" si="24"/>
        <v>0</v>
      </c>
      <c r="BA53" s="478"/>
      <c r="BB53" s="478"/>
      <c r="BC53" s="478"/>
    </row>
    <row r="54" spans="1:55" ht="14.25" customHeight="1">
      <c r="A54" s="37"/>
      <c r="B54" s="688">
        <v>0.19</v>
      </c>
      <c r="C54" s="494" t="str">
        <f t="shared" si="21"/>
        <v>MANGO</v>
      </c>
      <c r="D54" s="285" t="str">
        <f t="shared" si="22"/>
        <v>-</v>
      </c>
      <c r="E54" s="537"/>
      <c r="F54" s="782"/>
      <c r="G54" s="782"/>
      <c r="H54" s="782"/>
      <c r="I54" s="782"/>
      <c r="J54" s="782"/>
      <c r="K54" s="782"/>
      <c r="L54" s="782"/>
      <c r="M54" s="782"/>
      <c r="N54" s="782"/>
      <c r="O54" s="782"/>
      <c r="P54" s="782"/>
      <c r="Q54" s="782"/>
      <c r="R54" s="782"/>
      <c r="S54" s="782"/>
      <c r="T54" s="782"/>
      <c r="U54" s="782"/>
      <c r="V54" s="254"/>
      <c r="W54" s="81"/>
      <c r="X54" s="144"/>
      <c r="Y54" s="138"/>
      <c r="Z54" s="232"/>
      <c r="AA54" s="635" t="s">
        <v>178</v>
      </c>
      <c r="AB54" s="621" t="s">
        <v>595</v>
      </c>
      <c r="AC54" s="628">
        <v>11</v>
      </c>
      <c r="AD54" s="628">
        <v>0.5</v>
      </c>
      <c r="AE54" s="630">
        <v>0.1</v>
      </c>
      <c r="AF54" s="629">
        <v>17</v>
      </c>
      <c r="AG54" s="630">
        <v>0.5</v>
      </c>
      <c r="AH54" s="630">
        <v>50</v>
      </c>
      <c r="AI54" s="628">
        <v>155</v>
      </c>
      <c r="AJ54" s="628">
        <v>0.058</v>
      </c>
      <c r="AK54" s="628">
        <v>0.584</v>
      </c>
      <c r="AL54" s="628">
        <v>0.16</v>
      </c>
      <c r="AM54" s="628">
        <v>0.134</v>
      </c>
      <c r="AN54" s="160"/>
      <c r="AO54" s="151">
        <f t="shared" si="23"/>
        <v>0</v>
      </c>
      <c r="AP54" s="161">
        <f t="shared" si="27"/>
        <v>0</v>
      </c>
      <c r="AQ54" s="162">
        <f t="shared" si="28"/>
        <v>0</v>
      </c>
      <c r="AR54" s="162">
        <f t="shared" si="29"/>
        <v>0</v>
      </c>
      <c r="AS54" s="162">
        <f t="shared" si="30"/>
        <v>0</v>
      </c>
      <c r="AT54" s="162">
        <f t="shared" si="31"/>
        <v>0</v>
      </c>
      <c r="AU54" s="161">
        <f t="shared" si="32"/>
        <v>0</v>
      </c>
      <c r="AV54" s="161">
        <f t="shared" si="33"/>
        <v>0</v>
      </c>
      <c r="AW54" s="161">
        <f t="shared" si="34"/>
        <v>0</v>
      </c>
      <c r="AX54" s="161">
        <f t="shared" si="35"/>
        <v>0</v>
      </c>
      <c r="AY54" s="161">
        <f t="shared" si="36"/>
        <v>0</v>
      </c>
      <c r="AZ54" s="165">
        <f t="shared" si="24"/>
        <v>0</v>
      </c>
      <c r="BA54" s="478"/>
      <c r="BB54" s="478"/>
      <c r="BC54" s="478"/>
    </row>
    <row r="55" spans="1:55" ht="14.25" customHeight="1">
      <c r="A55" s="37"/>
      <c r="B55" s="688">
        <v>0.25</v>
      </c>
      <c r="C55" s="494" t="str">
        <f t="shared" si="21"/>
        <v>MEDLAR</v>
      </c>
      <c r="D55" s="285" t="str">
        <f t="shared" si="22"/>
        <v>-</v>
      </c>
      <c r="E55" s="537"/>
      <c r="F55" s="782"/>
      <c r="G55" s="782"/>
      <c r="H55" s="782"/>
      <c r="I55" s="782"/>
      <c r="J55" s="782"/>
      <c r="K55" s="782"/>
      <c r="L55" s="782"/>
      <c r="M55" s="782"/>
      <c r="N55" s="782"/>
      <c r="O55" s="782"/>
      <c r="P55" s="782"/>
      <c r="Q55" s="782"/>
      <c r="R55" s="782"/>
      <c r="S55" s="782"/>
      <c r="T55" s="782"/>
      <c r="U55" s="782"/>
      <c r="V55" s="782"/>
      <c r="W55" s="172"/>
      <c r="X55" s="144"/>
      <c r="Y55" s="138"/>
      <c r="Z55" s="232"/>
      <c r="AA55" s="635" t="s">
        <v>179</v>
      </c>
      <c r="AB55" s="621" t="s">
        <v>595</v>
      </c>
      <c r="AC55" s="628">
        <v>10</v>
      </c>
      <c r="AD55" s="630">
        <v>1</v>
      </c>
      <c r="AE55" s="630">
        <v>0.1</v>
      </c>
      <c r="AF55" s="631">
        <v>11</v>
      </c>
      <c r="AG55" s="630">
        <v>0.5</v>
      </c>
      <c r="AH55" s="630">
        <v>50</v>
      </c>
      <c r="AI55" s="630">
        <v>50</v>
      </c>
      <c r="AJ55" s="630">
        <v>0.03</v>
      </c>
      <c r="AK55" s="630">
        <v>0.3</v>
      </c>
      <c r="AL55" s="630">
        <v>0.1</v>
      </c>
      <c r="AM55" s="630">
        <v>0.08</v>
      </c>
      <c r="AN55" s="160"/>
      <c r="AO55" s="151">
        <f t="shared" si="23"/>
        <v>0</v>
      </c>
      <c r="AP55" s="161">
        <f t="shared" si="27"/>
        <v>0</v>
      </c>
      <c r="AQ55" s="162">
        <f t="shared" si="28"/>
        <v>0</v>
      </c>
      <c r="AR55" s="162">
        <f t="shared" si="29"/>
        <v>0</v>
      </c>
      <c r="AS55" s="162">
        <f t="shared" si="30"/>
        <v>0</v>
      </c>
      <c r="AT55" s="162">
        <f t="shared" si="31"/>
        <v>0</v>
      </c>
      <c r="AU55" s="161">
        <f t="shared" si="32"/>
        <v>0</v>
      </c>
      <c r="AV55" s="161">
        <f t="shared" si="33"/>
        <v>0</v>
      </c>
      <c r="AW55" s="161">
        <f t="shared" si="34"/>
        <v>0</v>
      </c>
      <c r="AX55" s="161">
        <f t="shared" si="35"/>
        <v>0</v>
      </c>
      <c r="AY55" s="161">
        <f t="shared" si="36"/>
        <v>0</v>
      </c>
      <c r="AZ55" s="165">
        <f t="shared" si="24"/>
        <v>0</v>
      </c>
      <c r="BA55" s="478"/>
      <c r="BB55" s="478"/>
      <c r="BC55" s="478"/>
    </row>
    <row r="56" spans="1:55" ht="14.25" customHeight="1">
      <c r="A56" s="37"/>
      <c r="B56" s="688">
        <v>0.06</v>
      </c>
      <c r="C56" s="494" t="str">
        <f t="shared" si="21"/>
        <v>MELON</v>
      </c>
      <c r="D56" s="285" t="str">
        <f t="shared" si="22"/>
        <v>-</v>
      </c>
      <c r="E56" s="537"/>
      <c r="F56" s="270"/>
      <c r="G56" s="1343" t="s">
        <v>251</v>
      </c>
      <c r="H56" s="1343"/>
      <c r="I56" s="1343"/>
      <c r="J56" s="498">
        <f>D7</f>
        <v>4.5</v>
      </c>
      <c r="K56" s="1281" t="s">
        <v>78</v>
      </c>
      <c r="L56" s="1281"/>
      <c r="M56" s="1281"/>
      <c r="N56" s="510"/>
      <c r="O56" s="511"/>
      <c r="P56" s="510"/>
      <c r="Q56" s="782"/>
      <c r="R56" s="782"/>
      <c r="S56" s="270"/>
      <c r="T56" s="270"/>
      <c r="U56" s="913"/>
      <c r="V56" s="910"/>
      <c r="W56" s="172"/>
      <c r="X56" s="144"/>
      <c r="Y56" s="238"/>
      <c r="Z56" s="177"/>
      <c r="AA56" s="635" t="s">
        <v>180</v>
      </c>
      <c r="AB56" s="621" t="s">
        <v>595</v>
      </c>
      <c r="AC56" s="628">
        <v>6</v>
      </c>
      <c r="AD56" s="628">
        <v>0.2</v>
      </c>
      <c r="AE56" s="630">
        <v>0.1</v>
      </c>
      <c r="AF56" s="629">
        <v>9</v>
      </c>
      <c r="AG56" s="630">
        <v>0.5</v>
      </c>
      <c r="AH56" s="628">
        <v>150</v>
      </c>
      <c r="AI56" s="628">
        <v>230</v>
      </c>
      <c r="AJ56" s="628">
        <v>0.038</v>
      </c>
      <c r="AK56" s="628">
        <v>0.418</v>
      </c>
      <c r="AL56" s="628">
        <v>0.155</v>
      </c>
      <c r="AM56" s="628">
        <v>0.088</v>
      </c>
      <c r="AN56" s="160"/>
      <c r="AO56" s="151">
        <f t="shared" si="23"/>
        <v>0</v>
      </c>
      <c r="AP56" s="161">
        <f t="shared" si="27"/>
        <v>0</v>
      </c>
      <c r="AQ56" s="162">
        <f t="shared" si="28"/>
        <v>0</v>
      </c>
      <c r="AR56" s="162">
        <f t="shared" si="29"/>
        <v>0</v>
      </c>
      <c r="AS56" s="162">
        <f t="shared" si="30"/>
        <v>0</v>
      </c>
      <c r="AT56" s="162">
        <f t="shared" si="31"/>
        <v>0</v>
      </c>
      <c r="AU56" s="161">
        <f t="shared" si="32"/>
        <v>0</v>
      </c>
      <c r="AV56" s="161">
        <f t="shared" si="33"/>
        <v>0</v>
      </c>
      <c r="AW56" s="161">
        <f t="shared" si="34"/>
        <v>0</v>
      </c>
      <c r="AX56" s="161">
        <f t="shared" si="35"/>
        <v>0</v>
      </c>
      <c r="AY56" s="161">
        <f t="shared" si="36"/>
        <v>0</v>
      </c>
      <c r="AZ56" s="165">
        <f t="shared" si="24"/>
        <v>0</v>
      </c>
      <c r="BA56" s="478"/>
      <c r="BB56" s="478"/>
      <c r="BC56" s="478"/>
    </row>
    <row r="57" spans="1:55" ht="14.25" customHeight="1">
      <c r="A57" s="37"/>
      <c r="B57" s="688">
        <v>0.15</v>
      </c>
      <c r="C57" s="494" t="str">
        <f t="shared" si="21"/>
        <v>MULBERRY</v>
      </c>
      <c r="D57" s="285" t="str">
        <f t="shared" si="22"/>
        <v>-</v>
      </c>
      <c r="E57" s="537"/>
      <c r="F57" s="270"/>
      <c r="G57" s="1240" t="s">
        <v>252</v>
      </c>
      <c r="H57" s="1240"/>
      <c r="I57" s="1240"/>
      <c r="J57" s="613">
        <v>200</v>
      </c>
      <c r="K57" s="1165" t="str">
        <f>"ml (200 nom. per 4.5 litres of finished wine) i. e . "&amp;J57*D7/4.5&amp;"ml for "&amp;D7&amp;" liters"</f>
        <v>ml (200 nom. per 4.5 litres of finished wine) i. e . 200ml for 4.5 liters</v>
      </c>
      <c r="L57" s="1165"/>
      <c r="M57" s="1165"/>
      <c r="N57" s="1165"/>
      <c r="O57" s="1165"/>
      <c r="P57" s="1165"/>
      <c r="Q57" s="1165"/>
      <c r="R57" s="1165"/>
      <c r="S57" s="912"/>
      <c r="T57" s="270"/>
      <c r="U57" s="254"/>
      <c r="V57" s="910"/>
      <c r="W57" s="172"/>
      <c r="X57" s="172"/>
      <c r="Y57" s="238"/>
      <c r="Z57" s="177"/>
      <c r="AA57" s="635" t="s">
        <v>181</v>
      </c>
      <c r="AB57" s="621" t="s">
        <v>595</v>
      </c>
      <c r="AC57" s="628">
        <v>8</v>
      </c>
      <c r="AD57" s="628">
        <v>0.45</v>
      </c>
      <c r="AE57" s="630">
        <v>0.1</v>
      </c>
      <c r="AF57" s="629">
        <v>10</v>
      </c>
      <c r="AG57" s="628">
        <v>0.7</v>
      </c>
      <c r="AH57" s="628">
        <v>210</v>
      </c>
      <c r="AI57" s="628">
        <v>194</v>
      </c>
      <c r="AJ57" s="628">
        <v>0.03</v>
      </c>
      <c r="AK57" s="628">
        <v>0.62</v>
      </c>
      <c r="AL57" s="630">
        <v>0</v>
      </c>
      <c r="AM57" s="630">
        <v>0.05</v>
      </c>
      <c r="AN57" s="160" t="s">
        <v>399</v>
      </c>
      <c r="AO57" s="151">
        <f t="shared" si="23"/>
        <v>0</v>
      </c>
      <c r="AP57" s="161">
        <f t="shared" si="27"/>
        <v>0</v>
      </c>
      <c r="AQ57" s="162">
        <f t="shared" si="28"/>
        <v>0</v>
      </c>
      <c r="AR57" s="162">
        <f t="shared" si="29"/>
        <v>0</v>
      </c>
      <c r="AS57" s="162">
        <f t="shared" si="30"/>
        <v>0</v>
      </c>
      <c r="AT57" s="162">
        <f t="shared" si="31"/>
        <v>0</v>
      </c>
      <c r="AU57" s="161">
        <f t="shared" si="32"/>
        <v>0</v>
      </c>
      <c r="AV57" s="161">
        <f t="shared" si="33"/>
        <v>0</v>
      </c>
      <c r="AW57" s="161">
        <f t="shared" si="34"/>
        <v>0</v>
      </c>
      <c r="AX57" s="161">
        <f t="shared" si="35"/>
        <v>0</v>
      </c>
      <c r="AY57" s="161">
        <f t="shared" si="36"/>
        <v>0</v>
      </c>
      <c r="AZ57" s="165">
        <f t="shared" si="24"/>
        <v>0</v>
      </c>
      <c r="BA57" s="478"/>
      <c r="BB57" s="478"/>
      <c r="BC57" s="478"/>
    </row>
    <row r="58" spans="1:55" ht="14.25" customHeight="1">
      <c r="A58" s="37"/>
      <c r="B58" s="688">
        <v>0.13</v>
      </c>
      <c r="C58" s="494" t="str">
        <f t="shared" si="21"/>
        <v>NECTARINE</v>
      </c>
      <c r="D58" s="285" t="str">
        <f t="shared" si="22"/>
        <v>-</v>
      </c>
      <c r="E58" s="537"/>
      <c r="F58" s="782"/>
      <c r="G58" s="1235" t="s">
        <v>253</v>
      </c>
      <c r="H58" s="1235"/>
      <c r="I58" s="1235"/>
      <c r="J58" s="733">
        <f>AO143</f>
        <v>73.8</v>
      </c>
      <c r="K58" s="1232" t="s">
        <v>301</v>
      </c>
      <c r="L58" s="1232"/>
      <c r="M58" s="1232"/>
      <c r="N58" s="1232"/>
      <c r="O58" s="1232"/>
      <c r="P58" s="1232"/>
      <c r="Q58" s="1232"/>
      <c r="R58" s="1232"/>
      <c r="S58" s="782"/>
      <c r="T58" s="782"/>
      <c r="U58" s="16"/>
      <c r="V58" s="255"/>
      <c r="W58" s="783"/>
      <c r="X58" s="783"/>
      <c r="Y58" s="783"/>
      <c r="Z58" s="232"/>
      <c r="AA58" s="635" t="s">
        <v>182</v>
      </c>
      <c r="AB58" s="621" t="s">
        <v>595</v>
      </c>
      <c r="AC58" s="628">
        <v>8</v>
      </c>
      <c r="AD58" s="628">
        <v>0.7</v>
      </c>
      <c r="AE58" s="630">
        <v>0.1</v>
      </c>
      <c r="AF58" s="629">
        <v>11</v>
      </c>
      <c r="AG58" s="630">
        <v>0.3</v>
      </c>
      <c r="AH58" s="628">
        <v>150</v>
      </c>
      <c r="AI58" s="628">
        <v>200</v>
      </c>
      <c r="AJ58" s="628">
        <v>0.034</v>
      </c>
      <c r="AK58" s="628">
        <v>1.125</v>
      </c>
      <c r="AL58" s="628">
        <v>0.185</v>
      </c>
      <c r="AM58" s="628">
        <v>0.025</v>
      </c>
      <c r="AN58" s="160" t="s">
        <v>396</v>
      </c>
      <c r="AO58" s="151">
        <f t="shared" si="23"/>
        <v>0</v>
      </c>
      <c r="AP58" s="161">
        <f t="shared" si="27"/>
        <v>0</v>
      </c>
      <c r="AQ58" s="162">
        <f t="shared" si="28"/>
        <v>0</v>
      </c>
      <c r="AR58" s="162">
        <f t="shared" si="29"/>
        <v>0</v>
      </c>
      <c r="AS58" s="162">
        <f t="shared" si="30"/>
        <v>0</v>
      </c>
      <c r="AT58" s="162">
        <f t="shared" si="31"/>
        <v>0</v>
      </c>
      <c r="AU58" s="161">
        <f t="shared" si="32"/>
        <v>0</v>
      </c>
      <c r="AV58" s="161">
        <f t="shared" si="33"/>
        <v>0</v>
      </c>
      <c r="AW58" s="161">
        <f t="shared" si="34"/>
        <v>0</v>
      </c>
      <c r="AX58" s="161">
        <f t="shared" si="35"/>
        <v>0</v>
      </c>
      <c r="AY58" s="161">
        <f t="shared" si="36"/>
        <v>0</v>
      </c>
      <c r="AZ58" s="165">
        <f t="shared" si="24"/>
        <v>0</v>
      </c>
      <c r="BA58" s="478"/>
      <c r="BB58" s="478"/>
      <c r="BC58" s="478"/>
    </row>
    <row r="59" spans="1:55" ht="14.25" customHeight="1">
      <c r="A59" s="37"/>
      <c r="B59" s="688">
        <v>0.13</v>
      </c>
      <c r="C59" s="494" t="str">
        <f t="shared" si="21"/>
        <v>ORANGE</v>
      </c>
      <c r="D59" s="285" t="str">
        <f t="shared" si="22"/>
        <v>FLESH</v>
      </c>
      <c r="E59" s="537"/>
      <c r="F59" s="782"/>
      <c r="G59" s="1231" t="s">
        <v>254</v>
      </c>
      <c r="H59" s="1231"/>
      <c r="I59" s="1231"/>
      <c r="J59" s="734">
        <f>J56+0.001*(J57*D7/4.5+J58)</f>
        <v>4.7738</v>
      </c>
      <c r="K59" s="1232" t="s">
        <v>302</v>
      </c>
      <c r="L59" s="1232"/>
      <c r="M59" s="1232"/>
      <c r="N59" s="1232"/>
      <c r="O59" s="1232"/>
      <c r="P59" s="1232"/>
      <c r="Q59" s="1232"/>
      <c r="R59" s="1232"/>
      <c r="S59" s="782"/>
      <c r="T59" s="908"/>
      <c r="U59" s="909"/>
      <c r="V59" s="12"/>
      <c r="W59" s="239"/>
      <c r="X59" s="239"/>
      <c r="Y59" s="188" t="s">
        <v>358</v>
      </c>
      <c r="Z59" s="232"/>
      <c r="AA59" s="635" t="s">
        <v>183</v>
      </c>
      <c r="AB59" s="621" t="s">
        <v>228</v>
      </c>
      <c r="AC59" s="628">
        <v>9.5</v>
      </c>
      <c r="AD59" s="628">
        <v>0.95</v>
      </c>
      <c r="AE59" s="630">
        <v>0.1</v>
      </c>
      <c r="AF59" s="629">
        <v>11.5</v>
      </c>
      <c r="AG59" s="628">
        <v>0.9</v>
      </c>
      <c r="AH59" s="630">
        <v>140</v>
      </c>
      <c r="AI59" s="628">
        <v>190</v>
      </c>
      <c r="AJ59" s="628">
        <v>0.087</v>
      </c>
      <c r="AK59" s="628">
        <v>0.04</v>
      </c>
      <c r="AL59" s="628">
        <v>0.25</v>
      </c>
      <c r="AM59" s="628">
        <v>0.06</v>
      </c>
      <c r="AN59" s="160" t="s">
        <v>397</v>
      </c>
      <c r="AO59" s="151">
        <f t="shared" si="23"/>
        <v>0</v>
      </c>
      <c r="AP59" s="161">
        <f t="shared" si="27"/>
        <v>0</v>
      </c>
      <c r="AQ59" s="162">
        <f t="shared" si="28"/>
        <v>0</v>
      </c>
      <c r="AR59" s="162">
        <f t="shared" si="29"/>
        <v>0</v>
      </c>
      <c r="AS59" s="162">
        <f t="shared" si="30"/>
        <v>0</v>
      </c>
      <c r="AT59" s="162">
        <f t="shared" si="31"/>
        <v>0</v>
      </c>
      <c r="AU59" s="161">
        <f t="shared" si="32"/>
        <v>0</v>
      </c>
      <c r="AV59" s="161">
        <f t="shared" si="33"/>
        <v>0</v>
      </c>
      <c r="AW59" s="161">
        <f t="shared" si="34"/>
        <v>0</v>
      </c>
      <c r="AX59" s="161">
        <f t="shared" si="35"/>
        <v>0</v>
      </c>
      <c r="AY59" s="161">
        <f t="shared" si="36"/>
        <v>0</v>
      </c>
      <c r="AZ59" s="165">
        <f t="shared" si="24"/>
        <v>0</v>
      </c>
      <c r="BA59" s="478"/>
      <c r="BB59" s="478"/>
      <c r="BC59" s="478"/>
    </row>
    <row r="60" spans="1:55" ht="14.25" customHeight="1">
      <c r="A60" s="37"/>
      <c r="B60" s="688">
        <v>0</v>
      </c>
      <c r="C60" s="494" t="str">
        <f t="shared" si="21"/>
        <v>     "</v>
      </c>
      <c r="D60" s="285" t="str">
        <f t="shared" si="22"/>
        <v>JUICE</v>
      </c>
      <c r="E60" s="537"/>
      <c r="F60" s="782"/>
      <c r="G60" s="1243" t="s">
        <v>255</v>
      </c>
      <c r="H60" s="1243"/>
      <c r="I60" s="1243"/>
      <c r="J60" s="189">
        <f>J56+(0.001*(J57*D7/4.5+J58))-0.001*J42</f>
        <v>4.7738</v>
      </c>
      <c r="K60" s="1336" t="s">
        <v>303</v>
      </c>
      <c r="L60" s="1336"/>
      <c r="M60" s="1336"/>
      <c r="N60" s="1336"/>
      <c r="O60" s="1336"/>
      <c r="P60" s="1336"/>
      <c r="Q60" s="1336"/>
      <c r="R60" s="1336"/>
      <c r="S60" s="754"/>
      <c r="T60" s="754"/>
      <c r="U60" s="910"/>
      <c r="V60" s="753"/>
      <c r="W60" s="681">
        <f>'General Calc''s'!AH48</f>
        <v>789.4</v>
      </c>
      <c r="X60" s="190">
        <v>7.07</v>
      </c>
      <c r="Y60" s="190">
        <v>3.85</v>
      </c>
      <c r="Z60" s="232"/>
      <c r="AA60" s="635" t="s">
        <v>596</v>
      </c>
      <c r="AB60" s="621" t="s">
        <v>232</v>
      </c>
      <c r="AC60" s="622">
        <v>9.9</v>
      </c>
      <c r="AD60" s="622">
        <v>1.05</v>
      </c>
      <c r="AE60" s="624">
        <v>0.01</v>
      </c>
      <c r="AF60" s="623">
        <v>10.4</v>
      </c>
      <c r="AG60" s="622">
        <v>0.2</v>
      </c>
      <c r="AH60" s="622">
        <v>100</v>
      </c>
      <c r="AI60" s="622">
        <v>200</v>
      </c>
      <c r="AJ60" s="622">
        <v>0.12</v>
      </c>
      <c r="AK60" s="622">
        <v>0.9</v>
      </c>
      <c r="AL60" s="622">
        <v>0.49</v>
      </c>
      <c r="AM60" s="622">
        <v>0.176</v>
      </c>
      <c r="AN60" s="150" t="s">
        <v>397</v>
      </c>
      <c r="AO60" s="480">
        <f t="shared" si="23"/>
        <v>0</v>
      </c>
      <c r="AP60" s="143">
        <f t="shared" si="27"/>
        <v>0</v>
      </c>
      <c r="AQ60" s="154">
        <f t="shared" si="28"/>
        <v>0</v>
      </c>
      <c r="AR60" s="154">
        <f t="shared" si="29"/>
        <v>0</v>
      </c>
      <c r="AS60" s="154">
        <f t="shared" si="30"/>
        <v>0</v>
      </c>
      <c r="AT60" s="154">
        <f t="shared" si="31"/>
        <v>0</v>
      </c>
      <c r="AU60" s="143">
        <f t="shared" si="32"/>
        <v>0</v>
      </c>
      <c r="AV60" s="143">
        <f t="shared" si="33"/>
        <v>0</v>
      </c>
      <c r="AW60" s="143">
        <f t="shared" si="34"/>
        <v>0</v>
      </c>
      <c r="AX60" s="143">
        <f t="shared" si="35"/>
        <v>0</v>
      </c>
      <c r="AY60" s="143">
        <f t="shared" si="36"/>
        <v>0</v>
      </c>
      <c r="AZ60" s="157">
        <f t="shared" si="24"/>
        <v>0</v>
      </c>
      <c r="BA60" s="478"/>
      <c r="BB60" s="478"/>
      <c r="BC60" s="478"/>
    </row>
    <row r="61" spans="1:55" ht="14.25" customHeight="1">
      <c r="A61" s="37"/>
      <c r="B61" s="690">
        <v>0</v>
      </c>
      <c r="C61" s="494" t="str">
        <f t="shared" si="21"/>
        <v>OTHER</v>
      </c>
      <c r="D61" s="285" t="str">
        <f t="shared" si="22"/>
        <v>-</v>
      </c>
      <c r="E61" s="537"/>
      <c r="F61" s="782"/>
      <c r="G61" s="302"/>
      <c r="H61" s="782"/>
      <c r="I61" s="695"/>
      <c r="J61" s="189">
        <f>J60-0.001*(J57*D7/4.5+J58)</f>
        <v>4.5</v>
      </c>
      <c r="K61" s="1137" t="s">
        <v>304</v>
      </c>
      <c r="L61" s="1137"/>
      <c r="M61" s="1137"/>
      <c r="N61" s="1137"/>
      <c r="O61" s="754"/>
      <c r="P61" s="754"/>
      <c r="Q61" s="754"/>
      <c r="R61" s="754"/>
      <c r="S61" s="754"/>
      <c r="T61" s="754"/>
      <c r="U61" s="910"/>
      <c r="V61" s="737"/>
      <c r="W61" s="144"/>
      <c r="X61" s="144"/>
      <c r="Y61" s="191">
        <f>W60*X60/1000</f>
        <v>5.581058</v>
      </c>
      <c r="Z61" s="232"/>
      <c r="AA61" s="635" t="s">
        <v>184</v>
      </c>
      <c r="AB61" s="621" t="s">
        <v>595</v>
      </c>
      <c r="AC61" s="622">
        <v>0</v>
      </c>
      <c r="AD61" s="622">
        <v>0</v>
      </c>
      <c r="AE61" s="622">
        <v>0</v>
      </c>
      <c r="AF61" s="622">
        <v>0</v>
      </c>
      <c r="AG61" s="622">
        <v>0</v>
      </c>
      <c r="AH61" s="622">
        <v>0</v>
      </c>
      <c r="AI61" s="622">
        <v>0</v>
      </c>
      <c r="AJ61" s="622">
        <v>0</v>
      </c>
      <c r="AK61" s="622">
        <v>0</v>
      </c>
      <c r="AL61" s="622">
        <v>0</v>
      </c>
      <c r="AM61" s="622">
        <v>0</v>
      </c>
      <c r="AN61" s="147"/>
      <c r="AO61" s="480">
        <f>B63*E61</f>
        <v>0</v>
      </c>
      <c r="AP61" s="143">
        <f t="shared" si="27"/>
        <v>0</v>
      </c>
      <c r="AQ61" s="154">
        <f t="shared" si="28"/>
        <v>0</v>
      </c>
      <c r="AR61" s="154">
        <f t="shared" si="29"/>
        <v>0</v>
      </c>
      <c r="AS61" s="154">
        <f t="shared" si="30"/>
        <v>0</v>
      </c>
      <c r="AT61" s="154">
        <f t="shared" si="31"/>
        <v>0</v>
      </c>
      <c r="AU61" s="143">
        <f t="shared" si="32"/>
        <v>0</v>
      </c>
      <c r="AV61" s="143">
        <f t="shared" si="33"/>
        <v>0</v>
      </c>
      <c r="AW61" s="143">
        <f t="shared" si="34"/>
        <v>0</v>
      </c>
      <c r="AX61" s="143">
        <f t="shared" si="35"/>
        <v>0</v>
      </c>
      <c r="AY61" s="143">
        <f t="shared" si="36"/>
        <v>0</v>
      </c>
      <c r="AZ61" s="157">
        <f t="shared" si="24"/>
        <v>0</v>
      </c>
      <c r="BA61" s="478"/>
      <c r="BB61" s="478"/>
      <c r="BC61" s="478"/>
    </row>
    <row r="62" spans="1:55" ht="14.25" customHeight="1">
      <c r="A62" s="37"/>
      <c r="B62" s="690">
        <v>0</v>
      </c>
      <c r="C62" s="494" t="str">
        <f t="shared" si="21"/>
        <v>OTHER</v>
      </c>
      <c r="D62" s="285" t="str">
        <f t="shared" si="22"/>
        <v>-</v>
      </c>
      <c r="E62" s="537"/>
      <c r="F62" s="306"/>
      <c r="G62" s="302"/>
      <c r="H62" s="1242" t="s">
        <v>276</v>
      </c>
      <c r="I62" s="1242"/>
      <c r="J62" s="19">
        <f>1000+P25*375/(1000*J60)</f>
        <v>1079.0384494532657</v>
      </c>
      <c r="K62" s="1166" t="str">
        <f>"Initial must acidity "&amp;FIXED(Q25/(10*J60))&amp;"%"</f>
        <v>Initial must acidity 0.48%</v>
      </c>
      <c r="L62" s="1166"/>
      <c r="M62" s="1166"/>
      <c r="N62" s="1166"/>
      <c r="O62" s="782"/>
      <c r="P62" s="782"/>
      <c r="Q62" s="509"/>
      <c r="R62" s="509"/>
      <c r="S62" s="509"/>
      <c r="T62" s="509"/>
      <c r="U62" s="509"/>
      <c r="V62" s="180"/>
      <c r="W62" s="192">
        <f>0.01*Y61*(1000+(J62-1000)*(J60/J59)-J63)/(7.75-(3*(J62-1000)/800))</f>
        <v>0.6391267698124083</v>
      </c>
      <c r="X62" s="191" t="s">
        <v>357</v>
      </c>
      <c r="Y62" s="193">
        <f>W62*J68</f>
        <v>479.3450773593063</v>
      </c>
      <c r="Z62" s="232"/>
      <c r="AA62" s="635" t="s">
        <v>184</v>
      </c>
      <c r="AB62" s="621" t="s">
        <v>595</v>
      </c>
      <c r="AC62" s="622">
        <v>0</v>
      </c>
      <c r="AD62" s="622">
        <v>0</v>
      </c>
      <c r="AE62" s="622">
        <v>0</v>
      </c>
      <c r="AF62" s="622">
        <v>0</v>
      </c>
      <c r="AG62" s="622">
        <v>0</v>
      </c>
      <c r="AH62" s="622">
        <v>0</v>
      </c>
      <c r="AI62" s="622">
        <v>0</v>
      </c>
      <c r="AJ62" s="622">
        <v>0</v>
      </c>
      <c r="AK62" s="622">
        <v>0</v>
      </c>
      <c r="AL62" s="622">
        <v>0</v>
      </c>
      <c r="AM62" s="622">
        <v>0</v>
      </c>
      <c r="AN62" s="147"/>
      <c r="AO62" s="480">
        <f>B64*E62</f>
        <v>0</v>
      </c>
      <c r="AP62" s="143">
        <f t="shared" si="27"/>
        <v>0</v>
      </c>
      <c r="AQ62" s="154">
        <f t="shared" si="28"/>
        <v>0</v>
      </c>
      <c r="AR62" s="154">
        <f t="shared" si="29"/>
        <v>0</v>
      </c>
      <c r="AS62" s="154">
        <f t="shared" si="30"/>
        <v>0</v>
      </c>
      <c r="AT62" s="154">
        <f t="shared" si="31"/>
        <v>0</v>
      </c>
      <c r="AU62" s="143">
        <f t="shared" si="32"/>
        <v>0</v>
      </c>
      <c r="AV62" s="143">
        <f t="shared" si="33"/>
        <v>0</v>
      </c>
      <c r="AW62" s="143">
        <f t="shared" si="34"/>
        <v>0</v>
      </c>
      <c r="AX62" s="143">
        <f t="shared" si="35"/>
        <v>0</v>
      </c>
      <c r="AY62" s="143">
        <f t="shared" si="36"/>
        <v>0</v>
      </c>
      <c r="AZ62" s="157">
        <f t="shared" si="24"/>
        <v>0</v>
      </c>
      <c r="BA62" s="478"/>
      <c r="BB62" s="478"/>
      <c r="BC62" s="478"/>
    </row>
    <row r="63" spans="1:55" ht="14.25" customHeight="1">
      <c r="A63" s="37"/>
      <c r="B63" s="690">
        <v>0.14</v>
      </c>
      <c r="C63" s="494" t="str">
        <f t="shared" si="21"/>
        <v>PAPAYA (Pawpaw)</v>
      </c>
      <c r="D63" s="285" t="str">
        <f t="shared" si="22"/>
        <v>-</v>
      </c>
      <c r="E63" s="537"/>
      <c r="F63" s="302"/>
      <c r="G63" s="302"/>
      <c r="H63" s="1347" t="s">
        <v>277</v>
      </c>
      <c r="I63" s="1347"/>
      <c r="J63" s="19">
        <f>J62-(1.07993715174291*0.375*P25/J60)</f>
        <v>993.68189147253</v>
      </c>
      <c r="K63" s="1166" t="str">
        <f>"Final must acidity "&amp;FIXED((Q25/(10*J60)+0.15)*J61/D7)&amp;"%"</f>
        <v>Final must acidity 0.63%</v>
      </c>
      <c r="L63" s="1166"/>
      <c r="M63" s="1166"/>
      <c r="N63" s="1166"/>
      <c r="O63" s="782"/>
      <c r="P63" s="782"/>
      <c r="Q63" s="782"/>
      <c r="R63" s="782"/>
      <c r="S63" s="782"/>
      <c r="T63" s="782"/>
      <c r="U63" s="782"/>
      <c r="V63" s="19"/>
      <c r="W63" s="192">
        <f>S25/(J59*1000)</f>
        <v>0.0018679039758682787</v>
      </c>
      <c r="X63" s="191" t="s">
        <v>357</v>
      </c>
      <c r="Y63" s="193">
        <f>W63*J68</f>
        <v>1.400927981901209</v>
      </c>
      <c r="Z63" s="232"/>
      <c r="AA63" s="635" t="s">
        <v>185</v>
      </c>
      <c r="AB63" s="621" t="s">
        <v>595</v>
      </c>
      <c r="AC63" s="622">
        <v>8</v>
      </c>
      <c r="AD63" s="622">
        <v>0.1</v>
      </c>
      <c r="AE63" s="624">
        <v>0.1</v>
      </c>
      <c r="AF63" s="623">
        <v>10</v>
      </c>
      <c r="AG63" s="624">
        <v>0.5</v>
      </c>
      <c r="AH63" s="624">
        <v>50</v>
      </c>
      <c r="AI63" s="622">
        <v>255</v>
      </c>
      <c r="AJ63" s="622">
        <v>0.027</v>
      </c>
      <c r="AK63" s="622">
        <v>0.338</v>
      </c>
      <c r="AL63" s="622">
        <v>0.218</v>
      </c>
      <c r="AM63" s="622">
        <v>0.019</v>
      </c>
      <c r="AN63" s="147"/>
      <c r="AO63" s="480">
        <f aca="true" t="shared" si="39" ref="AO63:AO78">B63*E63</f>
        <v>0</v>
      </c>
      <c r="AP63" s="143">
        <f t="shared" si="27"/>
        <v>0</v>
      </c>
      <c r="AQ63" s="154">
        <f t="shared" si="28"/>
        <v>0</v>
      </c>
      <c r="AR63" s="154">
        <f t="shared" si="29"/>
        <v>0</v>
      </c>
      <c r="AS63" s="154">
        <f t="shared" si="30"/>
        <v>0</v>
      </c>
      <c r="AT63" s="154">
        <f t="shared" si="31"/>
        <v>0</v>
      </c>
      <c r="AU63" s="143">
        <f t="shared" si="32"/>
        <v>0</v>
      </c>
      <c r="AV63" s="143">
        <f t="shared" si="33"/>
        <v>0</v>
      </c>
      <c r="AW63" s="143">
        <f t="shared" si="34"/>
        <v>0</v>
      </c>
      <c r="AX63" s="143">
        <f t="shared" si="35"/>
        <v>0</v>
      </c>
      <c r="AY63" s="143">
        <f t="shared" si="36"/>
        <v>0</v>
      </c>
      <c r="AZ63" s="143">
        <f t="shared" si="24"/>
        <v>0</v>
      </c>
      <c r="BA63" s="478"/>
      <c r="BB63" s="478"/>
      <c r="BC63" s="478"/>
    </row>
    <row r="64" spans="1:55" ht="14.25" customHeight="1">
      <c r="A64" s="37"/>
      <c r="B64" s="688">
        <v>0.28</v>
      </c>
      <c r="C64" s="494" t="str">
        <f t="shared" si="21"/>
        <v>PASSION FRUIT</v>
      </c>
      <c r="D64" s="285" t="str">
        <f t="shared" si="22"/>
        <v>-</v>
      </c>
      <c r="E64" s="537"/>
      <c r="F64" s="302"/>
      <c r="G64" s="302"/>
      <c r="H64" s="1344" t="s">
        <v>278</v>
      </c>
      <c r="I64" s="1344"/>
      <c r="J64" s="179">
        <f>(J62-J63)/(7.75-(3*(J62-1000)/800))</f>
        <v>11.451713453119615</v>
      </c>
      <c r="K64" s="1145" t="str">
        <f>"Must tannin "&amp;FIXED(R25/(10*J59))&amp;"%"</f>
        <v>Must tannin 0.01%</v>
      </c>
      <c r="L64" s="1145"/>
      <c r="M64" s="1145"/>
      <c r="N64" s="1145"/>
      <c r="O64" s="782"/>
      <c r="P64" s="782"/>
      <c r="Q64" s="782"/>
      <c r="R64" s="782"/>
      <c r="S64" s="782"/>
      <c r="T64" s="782"/>
      <c r="U64" s="29"/>
      <c r="V64" s="179"/>
      <c r="W64" s="144"/>
      <c r="X64" s="144"/>
      <c r="Y64" s="144"/>
      <c r="Z64" s="232"/>
      <c r="AA64" s="635" t="s">
        <v>186</v>
      </c>
      <c r="AB64" s="621" t="s">
        <v>595</v>
      </c>
      <c r="AC64" s="622">
        <v>6</v>
      </c>
      <c r="AD64" s="622">
        <v>3</v>
      </c>
      <c r="AE64" s="624">
        <v>0.1</v>
      </c>
      <c r="AF64" s="626">
        <v>10</v>
      </c>
      <c r="AG64" s="624">
        <v>0.5</v>
      </c>
      <c r="AH64" s="622">
        <v>440</v>
      </c>
      <c r="AI64" s="622">
        <v>350</v>
      </c>
      <c r="AJ64" s="622">
        <v>0</v>
      </c>
      <c r="AK64" s="622">
        <v>1.5</v>
      </c>
      <c r="AL64" s="622">
        <v>0</v>
      </c>
      <c r="AM64" s="622">
        <v>0.1</v>
      </c>
      <c r="AN64" s="147"/>
      <c r="AO64" s="480">
        <f t="shared" si="39"/>
        <v>0</v>
      </c>
      <c r="AP64" s="143">
        <f t="shared" si="27"/>
        <v>0</v>
      </c>
      <c r="AQ64" s="154">
        <f t="shared" si="28"/>
        <v>0</v>
      </c>
      <c r="AR64" s="154">
        <f t="shared" si="29"/>
        <v>0</v>
      </c>
      <c r="AS64" s="154">
        <f t="shared" si="30"/>
        <v>0</v>
      </c>
      <c r="AT64" s="154">
        <f t="shared" si="31"/>
        <v>0</v>
      </c>
      <c r="AU64" s="143">
        <f t="shared" si="32"/>
        <v>0</v>
      </c>
      <c r="AV64" s="143">
        <f t="shared" si="33"/>
        <v>0</v>
      </c>
      <c r="AW64" s="143">
        <f t="shared" si="34"/>
        <v>0</v>
      </c>
      <c r="AX64" s="143">
        <f t="shared" si="35"/>
        <v>0</v>
      </c>
      <c r="AY64" s="143">
        <f t="shared" si="36"/>
        <v>0</v>
      </c>
      <c r="AZ64" s="143">
        <f t="shared" si="24"/>
        <v>0</v>
      </c>
      <c r="BA64" s="478"/>
      <c r="BB64" s="478"/>
      <c r="BC64" s="478"/>
    </row>
    <row r="65" spans="1:55" ht="14.25" customHeight="1">
      <c r="A65" s="37"/>
      <c r="B65" s="688">
        <v>0.12</v>
      </c>
      <c r="C65" s="494" t="str">
        <f t="shared" si="21"/>
        <v>PEACH</v>
      </c>
      <c r="D65" s="285" t="str">
        <f t="shared" si="22"/>
        <v>FLESH</v>
      </c>
      <c r="E65" s="537"/>
      <c r="F65" s="302"/>
      <c r="G65" s="782"/>
      <c r="H65" s="782"/>
      <c r="I65" s="782"/>
      <c r="J65" s="782"/>
      <c r="K65" s="782"/>
      <c r="L65" s="782"/>
      <c r="M65" s="782"/>
      <c r="N65" s="782"/>
      <c r="O65" s="782"/>
      <c r="P65" s="782"/>
      <c r="Q65" s="782"/>
      <c r="R65" s="782"/>
      <c r="S65" s="782"/>
      <c r="T65" s="782"/>
      <c r="U65" s="782"/>
      <c r="V65" s="194"/>
      <c r="W65" s="144"/>
      <c r="X65" s="144"/>
      <c r="Y65" s="144"/>
      <c r="Z65" s="232"/>
      <c r="AA65" s="635" t="s">
        <v>187</v>
      </c>
      <c r="AB65" s="621" t="s">
        <v>228</v>
      </c>
      <c r="AC65" s="622">
        <v>8.5</v>
      </c>
      <c r="AD65" s="622">
        <v>0.65</v>
      </c>
      <c r="AE65" s="622">
        <v>0.1</v>
      </c>
      <c r="AF65" s="623">
        <v>14</v>
      </c>
      <c r="AG65" s="622">
        <v>0.4</v>
      </c>
      <c r="AH65" s="622">
        <v>100</v>
      </c>
      <c r="AI65" s="622">
        <v>190</v>
      </c>
      <c r="AJ65" s="622">
        <v>0.024</v>
      </c>
      <c r="AK65" s="622">
        <v>0.806</v>
      </c>
      <c r="AL65" s="622">
        <v>0.153</v>
      </c>
      <c r="AM65" s="622">
        <v>0.025</v>
      </c>
      <c r="AN65" s="150" t="s">
        <v>396</v>
      </c>
      <c r="AO65" s="480">
        <f t="shared" si="39"/>
        <v>0</v>
      </c>
      <c r="AP65" s="143">
        <f t="shared" si="27"/>
        <v>0</v>
      </c>
      <c r="AQ65" s="154">
        <f t="shared" si="28"/>
        <v>0</v>
      </c>
      <c r="AR65" s="154">
        <f t="shared" si="29"/>
        <v>0</v>
      </c>
      <c r="AS65" s="154">
        <f t="shared" si="30"/>
        <v>0</v>
      </c>
      <c r="AT65" s="154">
        <f t="shared" si="31"/>
        <v>0</v>
      </c>
      <c r="AU65" s="143">
        <f t="shared" si="32"/>
        <v>0</v>
      </c>
      <c r="AV65" s="143">
        <f t="shared" si="33"/>
        <v>0</v>
      </c>
      <c r="AW65" s="143">
        <f t="shared" si="34"/>
        <v>0</v>
      </c>
      <c r="AX65" s="143">
        <f t="shared" si="35"/>
        <v>0</v>
      </c>
      <c r="AY65" s="143">
        <f t="shared" si="36"/>
        <v>0</v>
      </c>
      <c r="AZ65" s="143">
        <f t="shared" si="24"/>
        <v>0</v>
      </c>
      <c r="BA65" s="478"/>
      <c r="BB65" s="479"/>
      <c r="BC65" s="479"/>
    </row>
    <row r="66" spans="1:55" ht="14.25" customHeight="1">
      <c r="A66" s="37"/>
      <c r="B66" s="688">
        <v>0.92</v>
      </c>
      <c r="C66" s="494" t="str">
        <f t="shared" si="21"/>
        <v>     "</v>
      </c>
      <c r="D66" s="285" t="str">
        <f t="shared" si="22"/>
        <v>DRIED</v>
      </c>
      <c r="E66" s="537"/>
      <c r="F66" s="302"/>
      <c r="G66" s="782"/>
      <c r="H66" s="782"/>
      <c r="I66" s="782"/>
      <c r="J66" s="782"/>
      <c r="K66" s="782"/>
      <c r="L66" s="782"/>
      <c r="M66" s="782"/>
      <c r="N66" s="782"/>
      <c r="O66" s="782"/>
      <c r="P66" s="782"/>
      <c r="Q66" s="782"/>
      <c r="R66" s="782"/>
      <c r="S66" s="782"/>
      <c r="T66" s="782"/>
      <c r="U66" s="782"/>
      <c r="V66" s="180"/>
      <c r="W66" s="144"/>
      <c r="X66" s="144"/>
      <c r="Y66" s="144"/>
      <c r="Z66" s="232"/>
      <c r="AA66" s="635" t="s">
        <v>596</v>
      </c>
      <c r="AB66" s="621" t="s">
        <v>229</v>
      </c>
      <c r="AC66" s="622">
        <v>52</v>
      </c>
      <c r="AD66" s="622">
        <v>1</v>
      </c>
      <c r="AE66" s="624">
        <v>0.5</v>
      </c>
      <c r="AF66" s="623">
        <v>61</v>
      </c>
      <c r="AG66" s="624">
        <v>2.4</v>
      </c>
      <c r="AH66" s="624">
        <v>50</v>
      </c>
      <c r="AI66" s="622">
        <v>995</v>
      </c>
      <c r="AJ66" s="622">
        <v>0.002</v>
      </c>
      <c r="AK66" s="622">
        <v>4.375</v>
      </c>
      <c r="AL66" s="622">
        <v>0.564</v>
      </c>
      <c r="AM66" s="622">
        <v>0.067</v>
      </c>
      <c r="AN66" s="150" t="s">
        <v>396</v>
      </c>
      <c r="AO66" s="480">
        <f t="shared" si="39"/>
        <v>0</v>
      </c>
      <c r="AP66" s="143">
        <f t="shared" si="27"/>
        <v>0</v>
      </c>
      <c r="AQ66" s="154">
        <f t="shared" si="28"/>
        <v>0</v>
      </c>
      <c r="AR66" s="154">
        <f t="shared" si="29"/>
        <v>0</v>
      </c>
      <c r="AS66" s="154">
        <f t="shared" si="30"/>
        <v>0</v>
      </c>
      <c r="AT66" s="154">
        <f t="shared" si="31"/>
        <v>0</v>
      </c>
      <c r="AU66" s="143">
        <f t="shared" si="32"/>
        <v>0</v>
      </c>
      <c r="AV66" s="143">
        <f t="shared" si="33"/>
        <v>0</v>
      </c>
      <c r="AW66" s="143">
        <f t="shared" si="34"/>
        <v>0</v>
      </c>
      <c r="AX66" s="143">
        <f t="shared" si="35"/>
        <v>0</v>
      </c>
      <c r="AY66" s="143">
        <f t="shared" si="36"/>
        <v>0</v>
      </c>
      <c r="AZ66" s="143">
        <f t="shared" si="24"/>
        <v>0</v>
      </c>
      <c r="BA66" s="247"/>
      <c r="BB66" s="479"/>
      <c r="BC66" s="479"/>
    </row>
    <row r="67" spans="1:55" ht="14.25" customHeight="1">
      <c r="A67" s="37"/>
      <c r="B67" s="688">
        <v>0.15</v>
      </c>
      <c r="C67" s="494" t="str">
        <f t="shared" si="21"/>
        <v>PEAR</v>
      </c>
      <c r="D67" s="285" t="str">
        <f t="shared" si="22"/>
        <v>-</v>
      </c>
      <c r="E67" s="537"/>
      <c r="F67" s="302"/>
      <c r="G67" s="1151" t="s">
        <v>256</v>
      </c>
      <c r="H67" s="1151"/>
      <c r="I67" s="1151"/>
      <c r="J67" s="1162" t="s">
        <v>298</v>
      </c>
      <c r="K67" s="1162"/>
      <c r="L67" s="1162"/>
      <c r="M67" s="1162"/>
      <c r="N67" s="1162"/>
      <c r="O67" s="198"/>
      <c r="P67" s="198"/>
      <c r="Q67" s="198"/>
      <c r="R67" s="12"/>
      <c r="S67" s="12"/>
      <c r="T67" s="180"/>
      <c r="U67" s="180"/>
      <c r="V67" s="16"/>
      <c r="W67" s="144"/>
      <c r="X67" s="144"/>
      <c r="Y67" s="144"/>
      <c r="Z67" s="232"/>
      <c r="AA67" s="635" t="s">
        <v>188</v>
      </c>
      <c r="AB67" s="621" t="s">
        <v>595</v>
      </c>
      <c r="AC67" s="622">
        <v>10</v>
      </c>
      <c r="AD67" s="622">
        <v>0.3</v>
      </c>
      <c r="AE67" s="622">
        <v>0.1</v>
      </c>
      <c r="AF67" s="623">
        <v>15</v>
      </c>
      <c r="AG67" s="622">
        <v>0.9</v>
      </c>
      <c r="AH67" s="622">
        <v>40</v>
      </c>
      <c r="AI67" s="622">
        <v>119</v>
      </c>
      <c r="AJ67" s="622">
        <v>0.012</v>
      </c>
      <c r="AK67" s="622">
        <v>0.157</v>
      </c>
      <c r="AL67" s="622">
        <v>0.048</v>
      </c>
      <c r="AM67" s="622">
        <v>0.028</v>
      </c>
      <c r="AN67" s="150" t="s">
        <v>396</v>
      </c>
      <c r="AO67" s="480">
        <f t="shared" si="39"/>
        <v>0</v>
      </c>
      <c r="AP67" s="143">
        <f t="shared" si="27"/>
        <v>0</v>
      </c>
      <c r="AQ67" s="154">
        <f t="shared" si="28"/>
        <v>0</v>
      </c>
      <c r="AR67" s="154">
        <f t="shared" si="29"/>
        <v>0</v>
      </c>
      <c r="AS67" s="154">
        <f t="shared" si="30"/>
        <v>0</v>
      </c>
      <c r="AT67" s="154">
        <f t="shared" si="31"/>
        <v>0</v>
      </c>
      <c r="AU67" s="143">
        <f t="shared" si="32"/>
        <v>0</v>
      </c>
      <c r="AV67" s="143">
        <f t="shared" si="33"/>
        <v>0</v>
      </c>
      <c r="AW67" s="143">
        <f t="shared" si="34"/>
        <v>0</v>
      </c>
      <c r="AX67" s="143">
        <f t="shared" si="35"/>
        <v>0</v>
      </c>
      <c r="AY67" s="143">
        <f t="shared" si="36"/>
        <v>0</v>
      </c>
      <c r="AZ67" s="143">
        <f t="shared" si="24"/>
        <v>0</v>
      </c>
      <c r="BA67" s="247"/>
      <c r="BB67" s="479"/>
      <c r="BC67" s="479"/>
    </row>
    <row r="68" spans="1:55" ht="14.25" customHeight="1">
      <c r="A68" s="37"/>
      <c r="B68" s="688">
        <v>0.25</v>
      </c>
      <c r="C68" s="494" t="str">
        <f t="shared" si="21"/>
        <v>PERSIMMON (Sharon fruit)</v>
      </c>
      <c r="D68" s="285" t="str">
        <f t="shared" si="22"/>
        <v>-</v>
      </c>
      <c r="E68" s="537"/>
      <c r="F68" s="273"/>
      <c r="G68" s="302"/>
      <c r="H68" s="1242" t="s">
        <v>272</v>
      </c>
      <c r="I68" s="1242"/>
      <c r="J68" s="608">
        <v>750</v>
      </c>
      <c r="K68" s="1220" t="str">
        <f>"= "&amp;FIXED(W62*J68,0)&amp;" calories from the alcohol"</f>
        <v>= 479 calories from the alcohol</v>
      </c>
      <c r="L68" s="1220"/>
      <c r="M68" s="1220"/>
      <c r="N68" s="1220"/>
      <c r="O68" s="710" t="s">
        <v>148</v>
      </c>
      <c r="P68" s="1140" t="s">
        <v>327</v>
      </c>
      <c r="Q68" s="1140"/>
      <c r="R68" s="608">
        <v>125</v>
      </c>
      <c r="S68" s="1234" t="str">
        <f>"= "&amp;FIXED(W62*R68,0)&amp;" cals from the alcohol"</f>
        <v>= 80 cals from the alcohol</v>
      </c>
      <c r="T68" s="1234"/>
      <c r="U68" s="1234"/>
      <c r="V68" s="1234"/>
      <c r="W68" s="758"/>
      <c r="X68" s="758"/>
      <c r="Y68" s="758"/>
      <c r="Z68" s="759"/>
      <c r="AA68" s="635" t="s">
        <v>611</v>
      </c>
      <c r="AB68" s="621" t="s">
        <v>595</v>
      </c>
      <c r="AC68" s="622">
        <v>14</v>
      </c>
      <c r="AD68" s="622">
        <v>0.2</v>
      </c>
      <c r="AE68" s="624">
        <v>0.1</v>
      </c>
      <c r="AF68" s="623">
        <v>19</v>
      </c>
      <c r="AG68" s="624">
        <v>0.5</v>
      </c>
      <c r="AH68" s="624">
        <v>50</v>
      </c>
      <c r="AI68" s="622">
        <v>160</v>
      </c>
      <c r="AJ68" s="622">
        <v>0.03</v>
      </c>
      <c r="AK68" s="622">
        <v>0.1</v>
      </c>
      <c r="AL68" s="622">
        <v>0</v>
      </c>
      <c r="AM68" s="622">
        <v>0.1</v>
      </c>
      <c r="AN68" s="150"/>
      <c r="AO68" s="480">
        <f t="shared" si="39"/>
        <v>0</v>
      </c>
      <c r="AP68" s="143">
        <f t="shared" si="27"/>
        <v>0</v>
      </c>
      <c r="AQ68" s="154">
        <f t="shared" si="28"/>
        <v>0</v>
      </c>
      <c r="AR68" s="154">
        <f t="shared" si="29"/>
        <v>0</v>
      </c>
      <c r="AS68" s="154">
        <f t="shared" si="30"/>
        <v>0</v>
      </c>
      <c r="AT68" s="154">
        <f t="shared" si="31"/>
        <v>0</v>
      </c>
      <c r="AU68" s="143">
        <f t="shared" si="32"/>
        <v>0</v>
      </c>
      <c r="AV68" s="143">
        <f t="shared" si="33"/>
        <v>0</v>
      </c>
      <c r="AW68" s="143">
        <f t="shared" si="34"/>
        <v>0</v>
      </c>
      <c r="AX68" s="143">
        <f t="shared" si="35"/>
        <v>0</v>
      </c>
      <c r="AY68" s="143">
        <f t="shared" si="36"/>
        <v>0</v>
      </c>
      <c r="AZ68" s="143">
        <f t="shared" si="24"/>
        <v>0</v>
      </c>
      <c r="BA68" s="247"/>
      <c r="BB68" s="479"/>
      <c r="BC68" s="479"/>
    </row>
    <row r="69" spans="1:55" ht="14.25" customHeight="1">
      <c r="A69" s="37"/>
      <c r="B69" s="688">
        <v>0.18</v>
      </c>
      <c r="C69" s="494" t="str">
        <f t="shared" si="21"/>
        <v>PINEAPPLE</v>
      </c>
      <c r="D69" s="285" t="str">
        <f t="shared" si="22"/>
        <v>-</v>
      </c>
      <c r="E69" s="537"/>
      <c r="F69" s="53"/>
      <c r="G69" s="302"/>
      <c r="H69" s="782"/>
      <c r="I69" s="746"/>
      <c r="J69" s="14"/>
      <c r="K69" s="1222" t="str">
        <f>"= "&amp;FIXED((J68*Y60*J41/(1000*J56)),0)&amp;" calories from the sweetening sugars"</f>
        <v>= 0 calories from the sweetening sugars</v>
      </c>
      <c r="L69" s="1222"/>
      <c r="M69" s="1222"/>
      <c r="N69" s="1222"/>
      <c r="O69" s="19"/>
      <c r="P69" s="736"/>
      <c r="Q69" s="782"/>
      <c r="R69" s="19"/>
      <c r="S69" s="1144" t="str">
        <f>"= "&amp;FIXED((R68*Y60*J41/(1000*J56)),0)&amp;" cals from the sweetening sugars"</f>
        <v>= 0 cals from the sweetening sugars</v>
      </c>
      <c r="T69" s="1144"/>
      <c r="U69" s="1144"/>
      <c r="V69" s="1144"/>
      <c r="W69" s="784"/>
      <c r="X69" s="784"/>
      <c r="Y69" s="784"/>
      <c r="Z69" s="785"/>
      <c r="AA69" s="635" t="s">
        <v>189</v>
      </c>
      <c r="AB69" s="621" t="s">
        <v>595</v>
      </c>
      <c r="AC69" s="622">
        <v>12</v>
      </c>
      <c r="AD69" s="622">
        <v>1.1</v>
      </c>
      <c r="AE69" s="624">
        <v>0.2</v>
      </c>
      <c r="AF69" s="623">
        <v>13</v>
      </c>
      <c r="AG69" s="622">
        <v>0.1</v>
      </c>
      <c r="AH69" s="622">
        <v>80</v>
      </c>
      <c r="AI69" s="622">
        <v>110</v>
      </c>
      <c r="AJ69" s="622">
        <v>0.079</v>
      </c>
      <c r="AK69" s="622">
        <v>0.5</v>
      </c>
      <c r="AL69" s="622">
        <v>0.213</v>
      </c>
      <c r="AM69" s="622">
        <v>0.112</v>
      </c>
      <c r="AN69" s="150" t="s">
        <v>397</v>
      </c>
      <c r="AO69" s="480">
        <f t="shared" si="39"/>
        <v>0</v>
      </c>
      <c r="AP69" s="143">
        <f t="shared" si="27"/>
        <v>0</v>
      </c>
      <c r="AQ69" s="154">
        <f t="shared" si="28"/>
        <v>0</v>
      </c>
      <c r="AR69" s="154">
        <f t="shared" si="29"/>
        <v>0</v>
      </c>
      <c r="AS69" s="154">
        <f t="shared" si="30"/>
        <v>0</v>
      </c>
      <c r="AT69" s="154">
        <f t="shared" si="31"/>
        <v>0</v>
      </c>
      <c r="AU69" s="143">
        <f t="shared" si="32"/>
        <v>0</v>
      </c>
      <c r="AV69" s="143">
        <f t="shared" si="33"/>
        <v>0</v>
      </c>
      <c r="AW69" s="143">
        <f t="shared" si="34"/>
        <v>0</v>
      </c>
      <c r="AX69" s="143">
        <f t="shared" si="35"/>
        <v>0</v>
      </c>
      <c r="AY69" s="143">
        <f t="shared" si="36"/>
        <v>0</v>
      </c>
      <c r="AZ69" s="143">
        <f t="shared" si="24"/>
        <v>0</v>
      </c>
      <c r="BA69" s="247"/>
      <c r="BB69" s="479"/>
      <c r="BC69" s="479"/>
    </row>
    <row r="70" spans="1:55" ht="14.25" customHeight="1">
      <c r="A70" s="37"/>
      <c r="B70" s="688">
        <v>0.14</v>
      </c>
      <c r="C70" s="494" t="str">
        <f t="shared" si="21"/>
        <v>PLUM</v>
      </c>
      <c r="D70" s="285" t="str">
        <f t="shared" si="22"/>
        <v>EATING</v>
      </c>
      <c r="E70" s="537"/>
      <c r="F70" s="302"/>
      <c r="G70" s="747"/>
      <c r="H70" s="782"/>
      <c r="I70" s="748"/>
      <c r="J70" s="217"/>
      <c r="K70" s="1180" t="str">
        <f>"= "&amp;FIXED((W63*J68*Y60),1)&amp;" calories from the residual sugars"</f>
        <v>= 5.4 calories from the residual sugars</v>
      </c>
      <c r="L70" s="1180"/>
      <c r="M70" s="1180"/>
      <c r="N70" s="1180"/>
      <c r="O70" s="19"/>
      <c r="P70" s="736"/>
      <c r="Q70" s="782"/>
      <c r="R70" s="19"/>
      <c r="S70" s="1217" t="str">
        <f>"= "&amp;FIXED((W63*R68*Y60),1)&amp;" cals from the residual sugars"</f>
        <v>= 0.9 cals from the residual sugars</v>
      </c>
      <c r="T70" s="1217"/>
      <c r="U70" s="1217"/>
      <c r="V70" s="1217"/>
      <c r="W70" s="786"/>
      <c r="X70" s="786"/>
      <c r="Y70" s="784"/>
      <c r="Z70" s="785"/>
      <c r="AA70" s="635" t="s">
        <v>190</v>
      </c>
      <c r="AB70" s="621" t="s">
        <v>593</v>
      </c>
      <c r="AC70" s="622">
        <v>10</v>
      </c>
      <c r="AD70" s="624">
        <v>1.5</v>
      </c>
      <c r="AE70" s="622">
        <v>0.15</v>
      </c>
      <c r="AF70" s="623">
        <v>11</v>
      </c>
      <c r="AG70" s="622">
        <v>0.9</v>
      </c>
      <c r="AH70" s="622">
        <v>90</v>
      </c>
      <c r="AI70" s="622">
        <v>155</v>
      </c>
      <c r="AJ70" s="622">
        <v>0.028</v>
      </c>
      <c r="AK70" s="622">
        <v>0.417</v>
      </c>
      <c r="AL70" s="622">
        <v>0.135</v>
      </c>
      <c r="AM70" s="622">
        <v>0.029</v>
      </c>
      <c r="AN70" s="150" t="s">
        <v>396</v>
      </c>
      <c r="AO70" s="480">
        <f t="shared" si="39"/>
        <v>0</v>
      </c>
      <c r="AP70" s="143">
        <f>E70*AC71/100</f>
        <v>0</v>
      </c>
      <c r="AQ70" s="154">
        <f>E70*AD71/100</f>
        <v>0</v>
      </c>
      <c r="AR70" s="154">
        <f>E70*AE71/100</f>
        <v>0</v>
      </c>
      <c r="AS70" s="154">
        <f>E70*(AF71-AC71)/100</f>
        <v>0</v>
      </c>
      <c r="AT70" s="154">
        <f>E70*AG71/1200</f>
        <v>0</v>
      </c>
      <c r="AU70" s="143">
        <f aca="true" t="shared" si="40" ref="AU70:AZ70">$E70*AH71/100</f>
        <v>0</v>
      </c>
      <c r="AV70" s="143">
        <f t="shared" si="40"/>
        <v>0</v>
      </c>
      <c r="AW70" s="143">
        <f t="shared" si="40"/>
        <v>0</v>
      </c>
      <c r="AX70" s="143">
        <f t="shared" si="40"/>
        <v>0</v>
      </c>
      <c r="AY70" s="143">
        <f t="shared" si="40"/>
        <v>0</v>
      </c>
      <c r="AZ70" s="143">
        <f t="shared" si="40"/>
        <v>0</v>
      </c>
      <c r="BA70" s="247"/>
      <c r="BB70" s="479"/>
      <c r="BC70" s="479"/>
    </row>
    <row r="71" spans="1:55" ht="14.25" customHeight="1">
      <c r="A71" s="37"/>
      <c r="B71" s="688">
        <v>0.14</v>
      </c>
      <c r="C71" s="494" t="str">
        <f t="shared" si="21"/>
        <v>    "</v>
      </c>
      <c r="D71" s="285" t="str">
        <f t="shared" si="22"/>
        <v>COOKING</v>
      </c>
      <c r="E71" s="537"/>
      <c r="F71" s="302"/>
      <c r="G71" s="186"/>
      <c r="H71" s="16"/>
      <c r="I71" s="186"/>
      <c r="J71" s="186"/>
      <c r="K71" s="1219" t="str">
        <f>"= "&amp;FIXED((W63*J68)+(J68*J41/(1000*J56)),1)&amp;"g carbohyradates"</f>
        <v>= 1.4g carbohyradates</v>
      </c>
      <c r="L71" s="1219"/>
      <c r="M71" s="1219"/>
      <c r="N71" s="1219"/>
      <c r="O71" s="179"/>
      <c r="P71" s="753"/>
      <c r="Q71" s="782"/>
      <c r="R71" s="180"/>
      <c r="S71" s="1212" t="str">
        <f>"= "&amp;FIXED((W63*R68)+(R68*J41/(1000*J56)),1)&amp;"g carbohyradates"</f>
        <v>= 0.2g carbohyradates</v>
      </c>
      <c r="T71" s="1212"/>
      <c r="U71" s="1212"/>
      <c r="V71" s="1212"/>
      <c r="W71" s="1225" t="s">
        <v>356</v>
      </c>
      <c r="X71" s="1225"/>
      <c r="Y71" s="1225"/>
      <c r="Z71" s="785"/>
      <c r="AA71" s="635" t="s">
        <v>600</v>
      </c>
      <c r="AB71" s="621" t="s">
        <v>679</v>
      </c>
      <c r="AC71" s="622">
        <v>7</v>
      </c>
      <c r="AD71" s="622">
        <v>1.6</v>
      </c>
      <c r="AE71" s="622">
        <v>0.15</v>
      </c>
      <c r="AF71" s="626">
        <v>11</v>
      </c>
      <c r="AG71" s="622">
        <v>0.9</v>
      </c>
      <c r="AH71" s="622">
        <v>90</v>
      </c>
      <c r="AI71" s="622">
        <v>155</v>
      </c>
      <c r="AJ71" s="622">
        <v>0.028</v>
      </c>
      <c r="AK71" s="622">
        <v>0.417</v>
      </c>
      <c r="AL71" s="622">
        <v>0.135</v>
      </c>
      <c r="AM71" s="622">
        <v>0.029</v>
      </c>
      <c r="AN71" s="150" t="s">
        <v>396</v>
      </c>
      <c r="AO71" s="480">
        <f t="shared" si="39"/>
        <v>0</v>
      </c>
      <c r="AP71" s="143">
        <f>E71*AC70/100</f>
        <v>0</v>
      </c>
      <c r="AQ71" s="154">
        <f>E71*AD70/100</f>
        <v>0</v>
      </c>
      <c r="AR71" s="154">
        <f>E71*AE70/100</f>
        <v>0</v>
      </c>
      <c r="AS71" s="154">
        <f>E71*(AF70-AC70)/100</f>
        <v>0</v>
      </c>
      <c r="AT71" s="154">
        <f>E71*AG70/1200</f>
        <v>0</v>
      </c>
      <c r="AU71" s="143">
        <f aca="true" t="shared" si="41" ref="AU71:AZ71">$E71*AH70/100</f>
        <v>0</v>
      </c>
      <c r="AV71" s="143">
        <f t="shared" si="41"/>
        <v>0</v>
      </c>
      <c r="AW71" s="143">
        <f t="shared" si="41"/>
        <v>0</v>
      </c>
      <c r="AX71" s="143">
        <f t="shared" si="41"/>
        <v>0</v>
      </c>
      <c r="AY71" s="143">
        <f t="shared" si="41"/>
        <v>0</v>
      </c>
      <c r="AZ71" s="143">
        <f t="shared" si="41"/>
        <v>0</v>
      </c>
      <c r="BA71" s="247"/>
      <c r="BB71" s="479"/>
      <c r="BC71" s="479"/>
    </row>
    <row r="72" spans="1:55" ht="14.25" customHeight="1">
      <c r="A72" s="37"/>
      <c r="B72" s="688">
        <v>0.69</v>
      </c>
      <c r="C72" s="494" t="str">
        <f t="shared" si="21"/>
        <v>PRUNES</v>
      </c>
      <c r="D72" s="285" t="str">
        <f t="shared" si="22"/>
        <v>-</v>
      </c>
      <c r="E72" s="537"/>
      <c r="F72" s="302"/>
      <c r="G72" s="749"/>
      <c r="H72" s="782"/>
      <c r="I72" s="1242" t="s">
        <v>279</v>
      </c>
      <c r="J72" s="1242"/>
      <c r="K72" s="1221" t="str">
        <f>"= "&amp;FIXED(((W62*J68)+(W63*J68*Y60)),0)&amp;" calories"</f>
        <v>= 485 calories</v>
      </c>
      <c r="L72" s="1221"/>
      <c r="M72" s="1221"/>
      <c r="N72" s="1221"/>
      <c r="O72" s="737"/>
      <c r="P72" s="782"/>
      <c r="Q72" s="520"/>
      <c r="R72" s="520" t="s">
        <v>279</v>
      </c>
      <c r="S72" s="1233" t="str">
        <f>"= "&amp;FIXED(((W62*R68)+(W63*R68*Y60)),0)&amp;" calories"</f>
        <v>= 81 calories</v>
      </c>
      <c r="T72" s="1233"/>
      <c r="U72" s="1233"/>
      <c r="V72" s="1233"/>
      <c r="W72" s="787"/>
      <c r="X72" s="787"/>
      <c r="Y72" s="784"/>
      <c r="Z72" s="785"/>
      <c r="AA72" s="635" t="s">
        <v>191</v>
      </c>
      <c r="AB72" s="621" t="s">
        <v>595</v>
      </c>
      <c r="AC72" s="622">
        <v>47</v>
      </c>
      <c r="AD72" s="622">
        <v>1.3</v>
      </c>
      <c r="AE72" s="624">
        <v>1</v>
      </c>
      <c r="AF72" s="626">
        <v>70</v>
      </c>
      <c r="AG72" s="624">
        <v>5.5</v>
      </c>
      <c r="AH72" s="624">
        <v>50</v>
      </c>
      <c r="AI72" s="622">
        <v>730</v>
      </c>
      <c r="AJ72" s="622">
        <v>0.118</v>
      </c>
      <c r="AK72" s="622">
        <v>2.995</v>
      </c>
      <c r="AL72" s="622">
        <v>0.418</v>
      </c>
      <c r="AM72" s="622">
        <v>0.745</v>
      </c>
      <c r="AN72" s="150" t="s">
        <v>396</v>
      </c>
      <c r="AO72" s="480">
        <f t="shared" si="39"/>
        <v>0</v>
      </c>
      <c r="AP72" s="143">
        <f aca="true" t="shared" si="42" ref="AP72:AP78">E72*AC72/100</f>
        <v>0</v>
      </c>
      <c r="AQ72" s="154">
        <f aca="true" t="shared" si="43" ref="AQ72:AQ78">E72*AD72/100</f>
        <v>0</v>
      </c>
      <c r="AR72" s="154">
        <f aca="true" t="shared" si="44" ref="AR72:AR78">E72*AE72/100</f>
        <v>0</v>
      </c>
      <c r="AS72" s="154">
        <f aca="true" t="shared" si="45" ref="AS72:AS78">E72*(AF72-AC72)/100</f>
        <v>0</v>
      </c>
      <c r="AT72" s="154">
        <f aca="true" t="shared" si="46" ref="AT72:AT78">E72*AG72/1200</f>
        <v>0</v>
      </c>
      <c r="AU72" s="143">
        <f aca="true" t="shared" si="47" ref="AU72:AZ78">$E72*AH72/100</f>
        <v>0</v>
      </c>
      <c r="AV72" s="143">
        <f t="shared" si="47"/>
        <v>0</v>
      </c>
      <c r="AW72" s="143">
        <f t="shared" si="47"/>
        <v>0</v>
      </c>
      <c r="AX72" s="143">
        <f t="shared" si="47"/>
        <v>0</v>
      </c>
      <c r="AY72" s="143">
        <f t="shared" si="47"/>
        <v>0</v>
      </c>
      <c r="AZ72" s="143">
        <f t="shared" si="47"/>
        <v>0</v>
      </c>
      <c r="BA72" s="246"/>
      <c r="BB72" s="479"/>
      <c r="BC72" s="479"/>
    </row>
    <row r="73" spans="1:55" ht="14.25" customHeight="1">
      <c r="A73" s="37"/>
      <c r="B73" s="688">
        <v>0.12</v>
      </c>
      <c r="C73" s="494" t="str">
        <f t="shared" si="21"/>
        <v>QUINCE</v>
      </c>
      <c r="D73" s="285" t="str">
        <f t="shared" si="22"/>
        <v>-</v>
      </c>
      <c r="E73" s="537"/>
      <c r="F73" s="302"/>
      <c r="G73" s="302"/>
      <c r="H73" s="782"/>
      <c r="I73" s="1242" t="s">
        <v>280</v>
      </c>
      <c r="J73" s="1242"/>
      <c r="K73" s="1221" t="str">
        <f>"= "&amp;FIXED(J68*J64*J61/J56/1000,2)&amp;" units of alcohol (UK)."</f>
        <v>= 8.59 units of alcohol (UK).</v>
      </c>
      <c r="L73" s="1221"/>
      <c r="M73" s="1221"/>
      <c r="N73" s="1221"/>
      <c r="O73" s="750"/>
      <c r="P73" s="782"/>
      <c r="Q73" s="520"/>
      <c r="R73" s="520" t="s">
        <v>280</v>
      </c>
      <c r="S73" s="1214" t="str">
        <f>"= "&amp;FIXED(R68*J64*J61/J56/1000,2)&amp;" units of alcohol (UK)."</f>
        <v>= 1.43 units of alcohol (UK).</v>
      </c>
      <c r="T73" s="1214"/>
      <c r="U73" s="1214"/>
      <c r="V73" s="1214"/>
      <c r="W73" s="788"/>
      <c r="X73" s="788"/>
      <c r="Y73" s="784"/>
      <c r="Z73" s="785"/>
      <c r="AA73" s="635" t="s">
        <v>192</v>
      </c>
      <c r="AB73" s="621" t="s">
        <v>595</v>
      </c>
      <c r="AC73" s="622">
        <v>8</v>
      </c>
      <c r="AD73" s="622">
        <v>0.95</v>
      </c>
      <c r="AE73" s="622">
        <v>0.15</v>
      </c>
      <c r="AF73" s="623">
        <v>15</v>
      </c>
      <c r="AG73" s="622">
        <v>1.1</v>
      </c>
      <c r="AH73" s="622">
        <v>50</v>
      </c>
      <c r="AI73" s="622">
        <v>190</v>
      </c>
      <c r="AJ73" s="622">
        <v>0.02</v>
      </c>
      <c r="AK73" s="622">
        <v>0.2</v>
      </c>
      <c r="AL73" s="622">
        <v>0.081</v>
      </c>
      <c r="AM73" s="622">
        <v>0.04</v>
      </c>
      <c r="AN73" s="150" t="s">
        <v>396</v>
      </c>
      <c r="AO73" s="480">
        <f t="shared" si="39"/>
        <v>0</v>
      </c>
      <c r="AP73" s="143">
        <f t="shared" si="42"/>
        <v>0</v>
      </c>
      <c r="AQ73" s="154">
        <f t="shared" si="43"/>
        <v>0</v>
      </c>
      <c r="AR73" s="154">
        <f t="shared" si="44"/>
        <v>0</v>
      </c>
      <c r="AS73" s="154">
        <f t="shared" si="45"/>
        <v>0</v>
      </c>
      <c r="AT73" s="154">
        <f t="shared" si="46"/>
        <v>0</v>
      </c>
      <c r="AU73" s="143">
        <f t="shared" si="47"/>
        <v>0</v>
      </c>
      <c r="AV73" s="143">
        <f t="shared" si="47"/>
        <v>0</v>
      </c>
      <c r="AW73" s="143">
        <f t="shared" si="47"/>
        <v>0</v>
      </c>
      <c r="AX73" s="143">
        <f t="shared" si="47"/>
        <v>0</v>
      </c>
      <c r="AY73" s="143">
        <f t="shared" si="47"/>
        <v>0</v>
      </c>
      <c r="AZ73" s="143">
        <f t="shared" si="47"/>
        <v>0</v>
      </c>
      <c r="BA73" s="246"/>
      <c r="BB73" s="479"/>
      <c r="BC73" s="479"/>
    </row>
    <row r="74" spans="1:55" ht="14.25" customHeight="1">
      <c r="A74" s="37"/>
      <c r="B74" s="688">
        <v>0.8</v>
      </c>
      <c r="C74" s="494" t="str">
        <f t="shared" si="21"/>
        <v>RAIS/SULT/CURR.</v>
      </c>
      <c r="D74" s="285" t="str">
        <f t="shared" si="22"/>
        <v>-</v>
      </c>
      <c r="E74" s="537"/>
      <c r="F74" s="302"/>
      <c r="G74" s="782"/>
      <c r="H74" s="782"/>
      <c r="I74" s="782"/>
      <c r="J74" s="782"/>
      <c r="K74" s="782"/>
      <c r="L74" s="782"/>
      <c r="M74" s="782"/>
      <c r="N74" s="782"/>
      <c r="O74" s="782"/>
      <c r="P74" s="782"/>
      <c r="Q74" s="782"/>
      <c r="R74" s="302"/>
      <c r="S74" s="760"/>
      <c r="T74" s="761"/>
      <c r="U74" s="761"/>
      <c r="V74" s="762"/>
      <c r="W74" s="784"/>
      <c r="X74" s="784"/>
      <c r="Y74" s="784"/>
      <c r="Z74" s="785"/>
      <c r="AA74" s="635" t="s">
        <v>193</v>
      </c>
      <c r="AB74" s="621" t="s">
        <v>595</v>
      </c>
      <c r="AC74" s="622">
        <v>67</v>
      </c>
      <c r="AD74" s="622">
        <v>2</v>
      </c>
      <c r="AE74" s="624">
        <v>0.5</v>
      </c>
      <c r="AF74" s="623">
        <v>79</v>
      </c>
      <c r="AG74" s="624">
        <v>1.6</v>
      </c>
      <c r="AH74" s="624">
        <v>50</v>
      </c>
      <c r="AI74" s="622">
        <v>740</v>
      </c>
      <c r="AJ74" s="622">
        <v>0.106</v>
      </c>
      <c r="AK74" s="622">
        <v>0.766</v>
      </c>
      <c r="AL74" s="622">
        <v>0.095</v>
      </c>
      <c r="AM74" s="622">
        <v>0.174</v>
      </c>
      <c r="AN74" s="150" t="s">
        <v>399</v>
      </c>
      <c r="AO74" s="480">
        <f t="shared" si="39"/>
        <v>0</v>
      </c>
      <c r="AP74" s="143">
        <f t="shared" si="42"/>
        <v>0</v>
      </c>
      <c r="AQ74" s="154">
        <f t="shared" si="43"/>
        <v>0</v>
      </c>
      <c r="AR74" s="154">
        <f t="shared" si="44"/>
        <v>0</v>
      </c>
      <c r="AS74" s="154">
        <f t="shared" si="45"/>
        <v>0</v>
      </c>
      <c r="AT74" s="154">
        <f t="shared" si="46"/>
        <v>0</v>
      </c>
      <c r="AU74" s="143">
        <f t="shared" si="47"/>
        <v>0</v>
      </c>
      <c r="AV74" s="143">
        <f t="shared" si="47"/>
        <v>0</v>
      </c>
      <c r="AW74" s="143">
        <f t="shared" si="47"/>
        <v>0</v>
      </c>
      <c r="AX74" s="143">
        <f t="shared" si="47"/>
        <v>0</v>
      </c>
      <c r="AY74" s="143">
        <f t="shared" si="47"/>
        <v>0</v>
      </c>
      <c r="AZ74" s="143">
        <f t="shared" si="47"/>
        <v>0</v>
      </c>
      <c r="BA74" s="246"/>
      <c r="BB74" s="479"/>
      <c r="BC74" s="479"/>
    </row>
    <row r="75" spans="1:55" ht="14.25" customHeight="1">
      <c r="A75" s="37"/>
      <c r="B75" s="688">
        <v>0.15</v>
      </c>
      <c r="C75" s="494" t="str">
        <f t="shared" si="21"/>
        <v>RASPBERRY</v>
      </c>
      <c r="D75" s="285" t="str">
        <f t="shared" si="22"/>
        <v>-</v>
      </c>
      <c r="E75" s="537"/>
      <c r="F75" s="302"/>
      <c r="G75" s="782"/>
      <c r="H75" s="782"/>
      <c r="I75" s="782"/>
      <c r="J75" s="782"/>
      <c r="K75" s="782"/>
      <c r="L75" s="782"/>
      <c r="M75" s="782"/>
      <c r="N75" s="782"/>
      <c r="O75" s="782"/>
      <c r="P75" s="782"/>
      <c r="Q75" s="782"/>
      <c r="R75" s="782"/>
      <c r="S75" s="789"/>
      <c r="T75" s="789"/>
      <c r="U75" s="789"/>
      <c r="V75" s="743"/>
      <c r="W75" s="790">
        <f>0.01*Y61*(J83-J84)/(7.75-(3*(J83-1000)/800))</f>
        <v>0.6391267698124083</v>
      </c>
      <c r="X75" s="791" t="s">
        <v>357</v>
      </c>
      <c r="Y75" s="784"/>
      <c r="Z75" s="785"/>
      <c r="AA75" s="635" t="s">
        <v>194</v>
      </c>
      <c r="AB75" s="621" t="s">
        <v>595</v>
      </c>
      <c r="AC75" s="622">
        <v>6.5</v>
      </c>
      <c r="AD75" s="622">
        <v>1.5</v>
      </c>
      <c r="AE75" s="622">
        <v>0.25</v>
      </c>
      <c r="AF75" s="623">
        <v>12</v>
      </c>
      <c r="AG75" s="622">
        <v>0.5</v>
      </c>
      <c r="AH75" s="622">
        <v>140</v>
      </c>
      <c r="AI75" s="622">
        <v>151</v>
      </c>
      <c r="AJ75" s="622">
        <v>0.03</v>
      </c>
      <c r="AK75" s="622">
        <v>0.6</v>
      </c>
      <c r="AL75" s="624">
        <v>0</v>
      </c>
      <c r="AM75" s="622">
        <v>0.06</v>
      </c>
      <c r="AN75" s="150" t="s">
        <v>397</v>
      </c>
      <c r="AO75" s="480">
        <f t="shared" si="39"/>
        <v>0</v>
      </c>
      <c r="AP75" s="143">
        <f t="shared" si="42"/>
        <v>0</v>
      </c>
      <c r="AQ75" s="154">
        <f t="shared" si="43"/>
        <v>0</v>
      </c>
      <c r="AR75" s="154">
        <f t="shared" si="44"/>
        <v>0</v>
      </c>
      <c r="AS75" s="154">
        <f t="shared" si="45"/>
        <v>0</v>
      </c>
      <c r="AT75" s="154">
        <f t="shared" si="46"/>
        <v>0</v>
      </c>
      <c r="AU75" s="143">
        <f t="shared" si="47"/>
        <v>0</v>
      </c>
      <c r="AV75" s="143">
        <f t="shared" si="47"/>
        <v>0</v>
      </c>
      <c r="AW75" s="143">
        <f t="shared" si="47"/>
        <v>0</v>
      </c>
      <c r="AX75" s="143">
        <f t="shared" si="47"/>
        <v>0</v>
      </c>
      <c r="AY75" s="143">
        <f t="shared" si="47"/>
        <v>0</v>
      </c>
      <c r="AZ75" s="143">
        <f t="shared" si="47"/>
        <v>0</v>
      </c>
      <c r="BA75" s="246"/>
      <c r="BB75" s="479"/>
      <c r="BC75" s="479"/>
    </row>
    <row r="76" spans="1:55" ht="14.25" customHeight="1">
      <c r="A76" s="37"/>
      <c r="B76" s="688">
        <v>0.17</v>
      </c>
      <c r="C76" s="494" t="str">
        <f t="shared" si="21"/>
        <v>REDCURRANT</v>
      </c>
      <c r="D76" s="285" t="str">
        <f t="shared" si="22"/>
        <v>-</v>
      </c>
      <c r="E76" s="537"/>
      <c r="F76" s="53"/>
      <c r="G76" s="1138" t="s">
        <v>257</v>
      </c>
      <c r="H76" s="1138"/>
      <c r="I76" s="1138"/>
      <c r="J76" s="1138"/>
      <c r="K76" s="751"/>
      <c r="L76" s="751"/>
      <c r="M76" s="751"/>
      <c r="N76" s="752"/>
      <c r="O76" s="753"/>
      <c r="P76" s="753"/>
      <c r="Q76" s="753"/>
      <c r="R76" s="782"/>
      <c r="S76" s="782"/>
      <c r="T76" s="782"/>
      <c r="U76" s="782"/>
      <c r="V76" s="53"/>
      <c r="W76" s="192">
        <f>S25/(J59*1000)</f>
        <v>0.0018679039758682787</v>
      </c>
      <c r="X76" s="191" t="s">
        <v>357</v>
      </c>
      <c r="Y76" s="144"/>
      <c r="Z76" s="232"/>
      <c r="AA76" s="635" t="s">
        <v>195</v>
      </c>
      <c r="AB76" s="621" t="s">
        <v>595</v>
      </c>
      <c r="AC76" s="622">
        <v>7.37</v>
      </c>
      <c r="AD76" s="622">
        <v>2.3</v>
      </c>
      <c r="AE76" s="622">
        <v>0.1</v>
      </c>
      <c r="AF76" s="623">
        <v>13.8</v>
      </c>
      <c r="AG76" s="622">
        <v>0.6</v>
      </c>
      <c r="AH76" s="622">
        <v>180</v>
      </c>
      <c r="AI76" s="622">
        <v>270</v>
      </c>
      <c r="AJ76" s="622">
        <v>0.04</v>
      </c>
      <c r="AK76" s="622">
        <v>0.1</v>
      </c>
      <c r="AL76" s="622">
        <v>0.064</v>
      </c>
      <c r="AM76" s="622">
        <v>0.07</v>
      </c>
      <c r="AN76" s="150" t="s">
        <v>397</v>
      </c>
      <c r="AO76" s="480">
        <f t="shared" si="39"/>
        <v>0</v>
      </c>
      <c r="AP76" s="143">
        <f t="shared" si="42"/>
        <v>0</v>
      </c>
      <c r="AQ76" s="154">
        <f t="shared" si="43"/>
        <v>0</v>
      </c>
      <c r="AR76" s="154">
        <f t="shared" si="44"/>
        <v>0</v>
      </c>
      <c r="AS76" s="154">
        <f t="shared" si="45"/>
        <v>0</v>
      </c>
      <c r="AT76" s="154">
        <f t="shared" si="46"/>
        <v>0</v>
      </c>
      <c r="AU76" s="143">
        <f t="shared" si="47"/>
        <v>0</v>
      </c>
      <c r="AV76" s="143">
        <f t="shared" si="47"/>
        <v>0</v>
      </c>
      <c r="AW76" s="143">
        <f t="shared" si="47"/>
        <v>0</v>
      </c>
      <c r="AX76" s="143">
        <f t="shared" si="47"/>
        <v>0</v>
      </c>
      <c r="AY76" s="143">
        <f t="shared" si="47"/>
        <v>0</v>
      </c>
      <c r="AZ76" s="143">
        <f t="shared" si="47"/>
        <v>0</v>
      </c>
      <c r="BA76" s="246"/>
      <c r="BB76" s="479"/>
      <c r="BC76" s="479"/>
    </row>
    <row r="77" spans="1:55" ht="14.25" customHeight="1">
      <c r="A77" s="37"/>
      <c r="B77" s="688">
        <v>0.2</v>
      </c>
      <c r="C77" s="494" t="str">
        <f t="shared" si="21"/>
        <v>RHUBARB ▼</v>
      </c>
      <c r="D77" s="285" t="str">
        <f t="shared" si="22"/>
        <v>FLESH</v>
      </c>
      <c r="E77" s="537"/>
      <c r="F77" s="53"/>
      <c r="G77" s="1216" t="s">
        <v>258</v>
      </c>
      <c r="H77" s="1216"/>
      <c r="I77" s="1216"/>
      <c r="J77" s="1216"/>
      <c r="K77" s="1216"/>
      <c r="L77" s="1216"/>
      <c r="M77" s="1216"/>
      <c r="N77" s="782"/>
      <c r="O77" s="1338"/>
      <c r="P77" s="1338"/>
      <c r="Q77" s="1338"/>
      <c r="R77" s="1215"/>
      <c r="S77" s="1215"/>
      <c r="T77" s="1215"/>
      <c r="U77" s="782"/>
      <c r="V77" s="16"/>
      <c r="W77" s="144"/>
      <c r="X77" s="144"/>
      <c r="Y77" s="144"/>
      <c r="Z77" s="232"/>
      <c r="AA77" s="635" t="s">
        <v>612</v>
      </c>
      <c r="AB77" s="621" t="s">
        <v>228</v>
      </c>
      <c r="AC77" s="622">
        <v>1.1</v>
      </c>
      <c r="AD77" s="622">
        <v>1.5</v>
      </c>
      <c r="AE77" s="622">
        <v>0.1</v>
      </c>
      <c r="AF77" s="623">
        <v>4.5</v>
      </c>
      <c r="AG77" s="622">
        <v>0.4</v>
      </c>
      <c r="AH77" s="622">
        <v>100</v>
      </c>
      <c r="AI77" s="622">
        <v>280</v>
      </c>
      <c r="AJ77" s="622">
        <v>0.02</v>
      </c>
      <c r="AK77" s="622">
        <v>0.3</v>
      </c>
      <c r="AL77" s="622">
        <v>0.085</v>
      </c>
      <c r="AM77" s="622">
        <v>0.024</v>
      </c>
      <c r="AN77" s="150" t="s">
        <v>396</v>
      </c>
      <c r="AO77" s="480">
        <f t="shared" si="39"/>
        <v>0</v>
      </c>
      <c r="AP77" s="143">
        <f t="shared" si="42"/>
        <v>0</v>
      </c>
      <c r="AQ77" s="154">
        <f t="shared" si="43"/>
        <v>0</v>
      </c>
      <c r="AR77" s="154">
        <f t="shared" si="44"/>
        <v>0</v>
      </c>
      <c r="AS77" s="154">
        <f t="shared" si="45"/>
        <v>0</v>
      </c>
      <c r="AT77" s="154">
        <f t="shared" si="46"/>
        <v>0</v>
      </c>
      <c r="AU77" s="143">
        <f t="shared" si="47"/>
        <v>0</v>
      </c>
      <c r="AV77" s="143">
        <f t="shared" si="47"/>
        <v>0</v>
      </c>
      <c r="AW77" s="143">
        <f t="shared" si="47"/>
        <v>0</v>
      </c>
      <c r="AX77" s="143">
        <f t="shared" si="47"/>
        <v>0</v>
      </c>
      <c r="AY77" s="143">
        <f t="shared" si="47"/>
        <v>0</v>
      </c>
      <c r="AZ77" s="143">
        <f t="shared" si="47"/>
        <v>0</v>
      </c>
      <c r="BA77" s="246"/>
      <c r="BB77" s="479"/>
      <c r="BC77" s="479"/>
    </row>
    <row r="78" spans="1:55" ht="14.25" customHeight="1">
      <c r="A78" s="37"/>
      <c r="B78" s="688">
        <v>0</v>
      </c>
      <c r="C78" s="494" t="str">
        <f t="shared" si="21"/>
        <v>       "</v>
      </c>
      <c r="D78" s="285" t="str">
        <f t="shared" si="22"/>
        <v>JUICE</v>
      </c>
      <c r="E78" s="537"/>
      <c r="F78" s="37"/>
      <c r="G78" s="1140" t="s">
        <v>259</v>
      </c>
      <c r="H78" s="1140"/>
      <c r="I78" s="1140"/>
      <c r="J78" s="608"/>
      <c r="K78" s="1139" t="str">
        <f>"g/litre, this is equivalent to "&amp;FIXED(J78/R98)&amp;" level 5ml tsp for a 1000ml bottle or "&amp;FIXED(J78*J56,2)&amp;"g for "&amp;D7&amp;" liters."</f>
        <v>g/litre, this is equivalent to 0.00 level 5ml tsp for a 1000ml bottle or 0.00g for 4.5 liters.</v>
      </c>
      <c r="L78" s="1139"/>
      <c r="M78" s="1139"/>
      <c r="N78" s="1139"/>
      <c r="O78" s="1139"/>
      <c r="P78" s="1139"/>
      <c r="Q78" s="1139"/>
      <c r="R78" s="1139"/>
      <c r="S78" s="1139"/>
      <c r="T78" s="1139"/>
      <c r="U78" s="1139"/>
      <c r="V78" s="33"/>
      <c r="W78" s="110"/>
      <c r="X78" s="110"/>
      <c r="Y78" s="110"/>
      <c r="Z78" s="177"/>
      <c r="AA78" s="635" t="s">
        <v>601</v>
      </c>
      <c r="AB78" s="621" t="s">
        <v>232</v>
      </c>
      <c r="AC78" s="630">
        <v>1</v>
      </c>
      <c r="AD78" s="630">
        <v>1.4</v>
      </c>
      <c r="AE78" s="630">
        <v>0.1</v>
      </c>
      <c r="AF78" s="631">
        <v>1.1</v>
      </c>
      <c r="AG78" s="630">
        <v>0.2</v>
      </c>
      <c r="AH78" s="630">
        <v>100</v>
      </c>
      <c r="AI78" s="630">
        <v>150</v>
      </c>
      <c r="AJ78" s="630">
        <v>0.02</v>
      </c>
      <c r="AK78" s="630">
        <v>0.3</v>
      </c>
      <c r="AL78" s="630">
        <v>0.08</v>
      </c>
      <c r="AM78" s="630">
        <v>0.02</v>
      </c>
      <c r="AN78" s="160" t="s">
        <v>396</v>
      </c>
      <c r="AO78" s="151">
        <f t="shared" si="39"/>
        <v>0</v>
      </c>
      <c r="AP78" s="161">
        <f t="shared" si="42"/>
        <v>0</v>
      </c>
      <c r="AQ78" s="162">
        <f t="shared" si="43"/>
        <v>0</v>
      </c>
      <c r="AR78" s="162">
        <f t="shared" si="44"/>
        <v>0</v>
      </c>
      <c r="AS78" s="162">
        <f t="shared" si="45"/>
        <v>0</v>
      </c>
      <c r="AT78" s="162">
        <f t="shared" si="46"/>
        <v>0</v>
      </c>
      <c r="AU78" s="161">
        <f t="shared" si="47"/>
        <v>0</v>
      </c>
      <c r="AV78" s="161">
        <f t="shared" si="47"/>
        <v>0</v>
      </c>
      <c r="AW78" s="161">
        <f t="shared" si="47"/>
        <v>0</v>
      </c>
      <c r="AX78" s="161">
        <f t="shared" si="47"/>
        <v>0</v>
      </c>
      <c r="AY78" s="161">
        <f t="shared" si="47"/>
        <v>0</v>
      </c>
      <c r="AZ78" s="161">
        <f t="shared" si="47"/>
        <v>0</v>
      </c>
      <c r="BA78" s="246"/>
      <c r="BB78" s="479"/>
      <c r="BC78" s="479"/>
    </row>
    <row r="79" spans="1:56" ht="14.25" customHeight="1">
      <c r="A79" s="37"/>
      <c r="B79" s="166"/>
      <c r="C79" s="212" t="s">
        <v>196</v>
      </c>
      <c r="D79" s="539">
        <v>750</v>
      </c>
      <c r="E79" s="167" t="s">
        <v>237</v>
      </c>
      <c r="F79" s="37"/>
      <c r="G79" s="1140" t="s">
        <v>260</v>
      </c>
      <c r="H79" s="1140"/>
      <c r="I79" s="1140"/>
      <c r="J79" s="608">
        <v>750</v>
      </c>
      <c r="K79" s="1178" t="str">
        <f>"ml, use "&amp;FIXED(J78*(J79/1000),2)&amp;"g, this is equivalent to "&amp;FIXED(((J79/1000)*J78/R98),2)&amp;" level 5ml tsp per bottle."</f>
        <v>ml, use 0.00g, this is equivalent to 0.00 level 5ml tsp per bottle.</v>
      </c>
      <c r="L79" s="1178"/>
      <c r="M79" s="1178"/>
      <c r="N79" s="1178"/>
      <c r="O79" s="1178"/>
      <c r="P79" s="1178"/>
      <c r="Q79" s="1178"/>
      <c r="R79" s="1178"/>
      <c r="S79" s="1178"/>
      <c r="T79" s="1178"/>
      <c r="U79" s="1178"/>
      <c r="V79" s="33"/>
      <c r="W79" s="144" t="s">
        <v>143</v>
      </c>
      <c r="X79" s="111">
        <f>89.6/342</f>
        <v>0.2619883040935672</v>
      </c>
      <c r="Y79" s="110"/>
      <c r="Z79" s="177"/>
      <c r="AA79" s="636"/>
      <c r="AB79" s="636"/>
      <c r="AC79" s="640"/>
      <c r="AD79" s="640"/>
      <c r="AE79" s="640"/>
      <c r="AF79" s="640"/>
      <c r="AG79" s="640"/>
      <c r="AH79" s="640"/>
      <c r="AI79" s="640"/>
      <c r="AJ79" s="640"/>
      <c r="AK79" s="640"/>
      <c r="AL79" s="640"/>
      <c r="AM79" s="640"/>
      <c r="AN79" s="143"/>
      <c r="AO79" s="29"/>
      <c r="AP79" s="29"/>
      <c r="AQ79" s="29"/>
      <c r="AR79" s="29"/>
      <c r="AS79" s="29"/>
      <c r="AT79" s="29"/>
      <c r="AU79" s="29"/>
      <c r="AV79" s="29"/>
      <c r="AW79" s="29"/>
      <c r="AX79" s="29"/>
      <c r="AY79" s="29"/>
      <c r="AZ79" s="29"/>
      <c r="BA79" s="143"/>
      <c r="BB79" s="679"/>
      <c r="BC79" s="679"/>
      <c r="BD79" s="29"/>
    </row>
    <row r="80" spans="1:56" ht="14.25" customHeight="1">
      <c r="A80" s="37"/>
      <c r="B80" s="166"/>
      <c r="C80" s="1237" t="str">
        <f>(0+E77)&amp;"g rhubarb flesh gives "&amp;FIXED(D79*E77/1000,0)&amp;"ml juice."</f>
        <v>0g rhubarb flesh gives 0ml juice.</v>
      </c>
      <c r="D80" s="1238"/>
      <c r="E80" s="1239"/>
      <c r="F80" s="37"/>
      <c r="G80" s="1241" t="s">
        <v>261</v>
      </c>
      <c r="H80" s="1241"/>
      <c r="I80" s="1241"/>
      <c r="J80" s="614">
        <v>20</v>
      </c>
      <c r="K80" s="1228" t="s">
        <v>305</v>
      </c>
      <c r="L80" s="1228"/>
      <c r="M80" s="1228"/>
      <c r="N80" s="1228"/>
      <c r="O80" s="1228"/>
      <c r="P80" s="1228"/>
      <c r="Q80" s="1228"/>
      <c r="R80" s="1228"/>
      <c r="S80" s="1228"/>
      <c r="T80" s="1228"/>
      <c r="U80" s="1228"/>
      <c r="V80" s="33"/>
      <c r="W80" s="207" t="s">
        <v>144</v>
      </c>
      <c r="X80" s="208" t="s">
        <v>145</v>
      </c>
      <c r="Y80" s="110"/>
      <c r="Z80" s="177"/>
      <c r="AA80" s="636"/>
      <c r="AB80" s="680"/>
      <c r="AC80" s="680"/>
      <c r="AD80" s="680"/>
      <c r="AE80" s="680"/>
      <c r="AF80" s="680"/>
      <c r="AG80" s="680"/>
      <c r="AH80" s="680"/>
      <c r="AI80" s="680"/>
      <c r="AJ80" s="680"/>
      <c r="AK80" s="680"/>
      <c r="AL80" s="680"/>
      <c r="AM80" s="680"/>
      <c r="AN80" s="143"/>
      <c r="AO80" s="153"/>
      <c r="AP80" s="143"/>
      <c r="AQ80" s="154"/>
      <c r="AR80" s="154"/>
      <c r="AS80" s="154"/>
      <c r="AT80" s="154"/>
      <c r="AU80" s="143"/>
      <c r="AV80" s="143"/>
      <c r="AW80" s="143"/>
      <c r="AX80" s="143"/>
      <c r="AY80" s="143"/>
      <c r="AZ80" s="143"/>
      <c r="BA80" s="143"/>
      <c r="BB80" s="679"/>
      <c r="BC80" s="679"/>
      <c r="BD80" s="29"/>
    </row>
    <row r="81" spans="1:56" ht="14.25" customHeight="1">
      <c r="A81" s="37"/>
      <c r="B81" s="168" t="s">
        <v>148</v>
      </c>
      <c r="C81" s="1237" t="str">
        <f>(0+E78)&amp;"ml juice requires "&amp;FIXED((E78*1000/D79),0)&amp;"g rhubarb flesh."</f>
        <v>0ml juice requires 0g rhubarb flesh.</v>
      </c>
      <c r="D81" s="1238"/>
      <c r="E81" s="1239"/>
      <c r="F81" s="53"/>
      <c r="G81" s="1140" t="s">
        <v>262</v>
      </c>
      <c r="H81" s="1140"/>
      <c r="I81" s="1140"/>
      <c r="J81" s="218">
        <f>J78*X79+VLOOKUP(J80,W82:X112,2)</f>
        <v>0.878</v>
      </c>
      <c r="K81" s="1150" t="s">
        <v>306</v>
      </c>
      <c r="L81" s="1150"/>
      <c r="M81" s="1150"/>
      <c r="N81" s="1150"/>
      <c r="O81" s="1150"/>
      <c r="P81" s="1150"/>
      <c r="Q81" s="1150"/>
      <c r="R81" s="1150"/>
      <c r="S81" s="1150"/>
      <c r="T81" s="1150"/>
      <c r="U81" s="1150"/>
      <c r="V81" s="16"/>
      <c r="W81" s="209" t="s">
        <v>47</v>
      </c>
      <c r="X81" s="210" t="s">
        <v>146</v>
      </c>
      <c r="Y81" s="144"/>
      <c r="Z81" s="232"/>
      <c r="AA81" s="636"/>
      <c r="AB81" s="636"/>
      <c r="AC81" s="640"/>
      <c r="AD81" s="640"/>
      <c r="AE81" s="640"/>
      <c r="AF81" s="640"/>
      <c r="AG81" s="640"/>
      <c r="AH81" s="640"/>
      <c r="AI81" s="640"/>
      <c r="AJ81" s="640"/>
      <c r="AK81" s="640"/>
      <c r="AL81" s="640"/>
      <c r="AM81" s="640"/>
      <c r="AN81" s="143"/>
      <c r="AO81" s="153"/>
      <c r="AP81" s="143"/>
      <c r="AQ81" s="154"/>
      <c r="AR81" s="154"/>
      <c r="AS81" s="154"/>
      <c r="AT81" s="154"/>
      <c r="AU81" s="143"/>
      <c r="AV81" s="143"/>
      <c r="AW81" s="143"/>
      <c r="AX81" s="143"/>
      <c r="AY81" s="143"/>
      <c r="AZ81" s="143"/>
      <c r="BA81" s="143"/>
      <c r="BB81" s="679"/>
      <c r="BC81" s="679"/>
      <c r="BD81" s="29"/>
    </row>
    <row r="82" spans="1:56" ht="14.25" customHeight="1">
      <c r="A82" s="37"/>
      <c r="B82" s="1250" t="s">
        <v>149</v>
      </c>
      <c r="C82" s="1251"/>
      <c r="D82" s="1251"/>
      <c r="E82" s="1252"/>
      <c r="F82" s="53"/>
      <c r="G82" s="1346" t="s">
        <v>263</v>
      </c>
      <c r="H82" s="1346"/>
      <c r="I82" s="1346"/>
      <c r="J82" s="195">
        <f>(SUM(-16.6999,PRODUCT(-0.0101059,(((J80+40)*(9/5))-40)),PRODUCT(0.00116512,POWER((((J80+40)*(9/5))-40),2)),PRODUCT(0.173354,(((J80+40)*(9/5))-40),J81),PRODUCT(4.24267,J81),PRODUCT(-0.0684226,POWER(J81,2))))</f>
        <v>2.022659268421599</v>
      </c>
      <c r="K82" s="1150" t="str">
        <f>"OR  "&amp;FIXED(J82*0.068046)&amp;" Atm. OR "&amp;FIXED(J82*0.068948)&amp;" Bar."</f>
        <v>OR  0.14 Atm. OR 0.14 Bar.</v>
      </c>
      <c r="L82" s="1150"/>
      <c r="M82" s="1150"/>
      <c r="N82" s="1150"/>
      <c r="O82" s="1150"/>
      <c r="P82" s="1150"/>
      <c r="Q82" s="1150"/>
      <c r="R82" s="1150"/>
      <c r="S82" s="1150"/>
      <c r="T82" s="1150"/>
      <c r="U82" s="1150"/>
      <c r="V82" s="182"/>
      <c r="W82" s="112">
        <v>0</v>
      </c>
      <c r="X82" s="113">
        <v>1.713</v>
      </c>
      <c r="Y82" s="144"/>
      <c r="Z82" s="232"/>
      <c r="AA82" s="636"/>
      <c r="AB82" s="636"/>
      <c r="AC82" s="640"/>
      <c r="AD82" s="640"/>
      <c r="AE82" s="640"/>
      <c r="AF82" s="640"/>
      <c r="AG82" s="640"/>
      <c r="AH82" s="640"/>
      <c r="AI82" s="640"/>
      <c r="AJ82" s="640"/>
      <c r="AK82" s="640"/>
      <c r="AL82" s="640"/>
      <c r="AM82" s="640"/>
      <c r="AN82" s="143"/>
      <c r="AO82" s="153"/>
      <c r="AP82" s="143"/>
      <c r="AQ82" s="154"/>
      <c r="AR82" s="154"/>
      <c r="AS82" s="154"/>
      <c r="AT82" s="154"/>
      <c r="AU82" s="143"/>
      <c r="AV82" s="143"/>
      <c r="AW82" s="143"/>
      <c r="AX82" s="143"/>
      <c r="AY82" s="143"/>
      <c r="AZ82" s="143"/>
      <c r="BA82" s="143"/>
      <c r="BB82" s="679"/>
      <c r="BC82" s="679"/>
      <c r="BD82" s="29"/>
    </row>
    <row r="83" spans="1:56" ht="14.25" customHeight="1">
      <c r="A83" s="37"/>
      <c r="B83" s="1250"/>
      <c r="C83" s="1251"/>
      <c r="D83" s="1251"/>
      <c r="E83" s="1252"/>
      <c r="F83" s="53"/>
      <c r="G83" s="1140" t="s">
        <v>264</v>
      </c>
      <c r="H83" s="1140"/>
      <c r="I83" s="1140"/>
      <c r="J83" s="19">
        <f>1000+(J62-1000)*(J60/J59)+0.375*J78</f>
        <v>1079.0384494532657</v>
      </c>
      <c r="K83" s="12"/>
      <c r="L83" s="12"/>
      <c r="M83" s="12"/>
      <c r="N83" s="12"/>
      <c r="O83" s="12"/>
      <c r="P83" s="12"/>
      <c r="Q83" s="12"/>
      <c r="R83" s="16"/>
      <c r="S83" s="16"/>
      <c r="T83" s="16"/>
      <c r="U83" s="16"/>
      <c r="V83" s="19"/>
      <c r="W83" s="112">
        <v>1</v>
      </c>
      <c r="X83" s="114">
        <v>1.646</v>
      </c>
      <c r="Y83" s="144"/>
      <c r="Z83" s="232"/>
      <c r="AA83" s="636"/>
      <c r="AB83" s="636"/>
      <c r="AC83" s="640"/>
      <c r="AD83" s="640"/>
      <c r="AE83" s="640"/>
      <c r="AF83" s="640"/>
      <c r="AG83" s="640"/>
      <c r="AH83" s="640"/>
      <c r="AI83" s="640"/>
      <c r="AJ83" s="640"/>
      <c r="AK83" s="640"/>
      <c r="AL83" s="640"/>
      <c r="AM83" s="640"/>
      <c r="AN83" s="143"/>
      <c r="AO83" s="153"/>
      <c r="AP83" s="143"/>
      <c r="AQ83" s="154"/>
      <c r="AR83" s="154"/>
      <c r="AS83" s="154"/>
      <c r="AT83" s="154"/>
      <c r="AU83" s="143"/>
      <c r="AV83" s="143"/>
      <c r="AW83" s="143"/>
      <c r="AX83" s="143"/>
      <c r="AY83" s="143"/>
      <c r="AZ83" s="143"/>
      <c r="BA83" s="143"/>
      <c r="BB83" s="679"/>
      <c r="BC83" s="679"/>
      <c r="BD83" s="29"/>
    </row>
    <row r="84" spans="1:56" ht="14.25" customHeight="1">
      <c r="A84" s="37"/>
      <c r="B84" s="1250"/>
      <c r="C84" s="1251"/>
      <c r="D84" s="1251"/>
      <c r="E84" s="1252"/>
      <c r="F84" s="53"/>
      <c r="G84" s="1140" t="s">
        <v>265</v>
      </c>
      <c r="H84" s="1140"/>
      <c r="I84" s="1140"/>
      <c r="J84" s="19">
        <f>J63-(1.07993715174291*0.375*J78/J56)</f>
        <v>993.68189147253</v>
      </c>
      <c r="K84" s="12"/>
      <c r="L84" s="196"/>
      <c r="M84" s="196"/>
      <c r="N84" s="196"/>
      <c r="O84" s="1135" t="s">
        <v>670</v>
      </c>
      <c r="P84" s="1135"/>
      <c r="Q84" s="1135"/>
      <c r="R84" s="16"/>
      <c r="S84" s="16"/>
      <c r="T84" s="16"/>
      <c r="U84" s="16"/>
      <c r="V84" s="19"/>
      <c r="W84" s="112">
        <v>2</v>
      </c>
      <c r="X84" s="113">
        <v>1.584</v>
      </c>
      <c r="Y84" s="144"/>
      <c r="Z84" s="232"/>
      <c r="AA84" s="636"/>
      <c r="AB84" s="636"/>
      <c r="AC84" s="640"/>
      <c r="AD84" s="640"/>
      <c r="AE84" s="640"/>
      <c r="AF84" s="640"/>
      <c r="AG84" s="640"/>
      <c r="AH84" s="680"/>
      <c r="AI84" s="640"/>
      <c r="AJ84" s="640"/>
      <c r="AK84" s="640"/>
      <c r="AL84" s="640"/>
      <c r="AM84" s="640"/>
      <c r="AN84" s="143"/>
      <c r="AO84" s="153"/>
      <c r="AP84" s="143"/>
      <c r="AQ84" s="154"/>
      <c r="AR84" s="154"/>
      <c r="AS84" s="154"/>
      <c r="AT84" s="154"/>
      <c r="AU84" s="143"/>
      <c r="AV84" s="143"/>
      <c r="AW84" s="143"/>
      <c r="AX84" s="143"/>
      <c r="AY84" s="143"/>
      <c r="AZ84" s="143"/>
      <c r="BA84" s="143"/>
      <c r="BB84" s="679"/>
      <c r="BC84" s="679"/>
      <c r="BD84" s="29"/>
    </row>
    <row r="85" spans="1:55" ht="14.25" customHeight="1">
      <c r="A85" s="37"/>
      <c r="B85" s="688">
        <v>0.17</v>
      </c>
      <c r="C85" s="494" t="str">
        <f aca="true" t="shared" si="48" ref="C85:D91">AA85</f>
        <v>SLOE</v>
      </c>
      <c r="D85" s="285" t="str">
        <f t="shared" si="48"/>
        <v>-</v>
      </c>
      <c r="E85" s="607"/>
      <c r="F85" s="53"/>
      <c r="G85" s="1242" t="s">
        <v>626</v>
      </c>
      <c r="H85" s="1242"/>
      <c r="I85" s="1242"/>
      <c r="J85" s="745">
        <f>(J83-J84)/(7.75-(3*(J83-1000)/800))</f>
        <v>11.451713453119615</v>
      </c>
      <c r="K85" s="746" t="s">
        <v>111</v>
      </c>
      <c r="L85" s="755"/>
      <c r="M85" s="755"/>
      <c r="N85" s="756"/>
      <c r="O85" s="1133" t="str">
        <f>"(Presently set to "&amp;FIXED(J41,0)&amp;")"</f>
        <v>(Presently set to 0)</v>
      </c>
      <c r="P85" s="1133"/>
      <c r="Q85" s="1133"/>
      <c r="R85" s="782"/>
      <c r="S85" s="782"/>
      <c r="T85" s="782"/>
      <c r="U85" s="782"/>
      <c r="V85" s="224"/>
      <c r="W85" s="112">
        <v>3</v>
      </c>
      <c r="X85" s="113">
        <v>1.55</v>
      </c>
      <c r="Y85" s="144"/>
      <c r="Z85" s="232"/>
      <c r="AA85" s="635" t="s">
        <v>197</v>
      </c>
      <c r="AB85" s="621" t="s">
        <v>595</v>
      </c>
      <c r="AC85" s="628">
        <v>8</v>
      </c>
      <c r="AD85" s="630">
        <v>2</v>
      </c>
      <c r="AE85" s="630">
        <v>0.3</v>
      </c>
      <c r="AF85" s="631">
        <v>9</v>
      </c>
      <c r="AG85" s="630">
        <v>0.5</v>
      </c>
      <c r="AH85" s="630">
        <v>100</v>
      </c>
      <c r="AI85" s="630">
        <v>150</v>
      </c>
      <c r="AJ85" s="630">
        <v>0.02</v>
      </c>
      <c r="AK85" s="630">
        <v>0.3</v>
      </c>
      <c r="AL85" s="630">
        <v>0.08</v>
      </c>
      <c r="AM85" s="630">
        <v>0.02</v>
      </c>
      <c r="AN85" s="893"/>
      <c r="AO85" s="138">
        <f aca="true" t="shared" si="49" ref="AO85:AO91">B85*E85</f>
        <v>0</v>
      </c>
      <c r="AP85" s="161">
        <f aca="true" t="shared" si="50" ref="AP85:AP91">E85*AC85/100</f>
        <v>0</v>
      </c>
      <c r="AQ85" s="162">
        <f aca="true" t="shared" si="51" ref="AQ85:AQ91">E85*AD85/100</f>
        <v>0</v>
      </c>
      <c r="AR85" s="162">
        <f aca="true" t="shared" si="52" ref="AR85:AR91">E85*AE85/100</f>
        <v>0</v>
      </c>
      <c r="AS85" s="162">
        <f aca="true" t="shared" si="53" ref="AS85:AS91">E85*(AF85-AC85)/100</f>
        <v>0</v>
      </c>
      <c r="AT85" s="162">
        <f aca="true" t="shared" si="54" ref="AT85:AT91">E85*AG85/1200</f>
        <v>0</v>
      </c>
      <c r="AU85" s="161">
        <f aca="true" t="shared" si="55" ref="AU85:AZ91">$E85*AH85/100</f>
        <v>0</v>
      </c>
      <c r="AV85" s="161">
        <f t="shared" si="55"/>
        <v>0</v>
      </c>
      <c r="AW85" s="161">
        <f t="shared" si="55"/>
        <v>0</v>
      </c>
      <c r="AX85" s="161">
        <f t="shared" si="55"/>
        <v>0</v>
      </c>
      <c r="AY85" s="161">
        <f t="shared" si="55"/>
        <v>0</v>
      </c>
      <c r="AZ85" s="165">
        <f t="shared" si="55"/>
        <v>0</v>
      </c>
      <c r="BA85" s="246"/>
      <c r="BB85" s="139"/>
      <c r="BC85" s="139"/>
    </row>
    <row r="86" spans="1:55" ht="14.25" customHeight="1">
      <c r="A86" s="37"/>
      <c r="B86" s="688">
        <v>0.1</v>
      </c>
      <c r="C86" s="494" t="str">
        <f t="shared" si="48"/>
        <v>STRAWBERRY</v>
      </c>
      <c r="D86" s="285" t="str">
        <f t="shared" si="48"/>
        <v>-</v>
      </c>
      <c r="E86" s="607"/>
      <c r="F86" s="53"/>
      <c r="G86" s="782"/>
      <c r="H86" s="782"/>
      <c r="I86" s="782"/>
      <c r="J86" s="782"/>
      <c r="K86" s="782"/>
      <c r="L86" s="782"/>
      <c r="M86" s="782"/>
      <c r="N86" s="782"/>
      <c r="O86" s="782"/>
      <c r="P86" s="782"/>
      <c r="Q86" s="782"/>
      <c r="R86" s="782"/>
      <c r="S86" s="782"/>
      <c r="T86" s="782"/>
      <c r="U86" s="782"/>
      <c r="V86" s="179"/>
      <c r="W86" s="112">
        <v>4</v>
      </c>
      <c r="X86" s="113">
        <v>1.473</v>
      </c>
      <c r="Y86" s="144"/>
      <c r="Z86" s="232"/>
      <c r="AA86" s="635" t="s">
        <v>198</v>
      </c>
      <c r="AB86" s="621" t="s">
        <v>595</v>
      </c>
      <c r="AC86" s="628">
        <v>5.5</v>
      </c>
      <c r="AD86" s="628">
        <v>1</v>
      </c>
      <c r="AE86" s="628">
        <v>0.4</v>
      </c>
      <c r="AF86" s="629">
        <v>8</v>
      </c>
      <c r="AG86" s="628">
        <v>0.5</v>
      </c>
      <c r="AH86" s="628">
        <v>100</v>
      </c>
      <c r="AI86" s="628">
        <v>290</v>
      </c>
      <c r="AJ86" s="628">
        <v>0.03</v>
      </c>
      <c r="AK86" s="628">
        <v>0.6</v>
      </c>
      <c r="AL86" s="628">
        <v>0</v>
      </c>
      <c r="AM86" s="628">
        <v>0</v>
      </c>
      <c r="AN86" s="893"/>
      <c r="AO86" s="138">
        <f t="shared" si="49"/>
        <v>0</v>
      </c>
      <c r="AP86" s="161">
        <f t="shared" si="50"/>
        <v>0</v>
      </c>
      <c r="AQ86" s="162">
        <f t="shared" si="51"/>
        <v>0</v>
      </c>
      <c r="AR86" s="162">
        <f t="shared" si="52"/>
        <v>0</v>
      </c>
      <c r="AS86" s="162">
        <f t="shared" si="53"/>
        <v>0</v>
      </c>
      <c r="AT86" s="162">
        <f t="shared" si="54"/>
        <v>0</v>
      </c>
      <c r="AU86" s="161">
        <f t="shared" si="55"/>
        <v>0</v>
      </c>
      <c r="AV86" s="161">
        <f t="shared" si="55"/>
        <v>0</v>
      </c>
      <c r="AW86" s="161">
        <f t="shared" si="55"/>
        <v>0</v>
      </c>
      <c r="AX86" s="161">
        <f t="shared" si="55"/>
        <v>0</v>
      </c>
      <c r="AY86" s="161">
        <f t="shared" si="55"/>
        <v>0</v>
      </c>
      <c r="AZ86" s="165">
        <f t="shared" si="55"/>
        <v>0</v>
      </c>
      <c r="BA86" s="246"/>
      <c r="BB86" s="139"/>
      <c r="BC86" s="139"/>
    </row>
    <row r="87" spans="1:53" ht="14.25" customHeight="1">
      <c r="A87" s="37"/>
      <c r="B87" s="688">
        <v>0.12</v>
      </c>
      <c r="C87" s="494" t="str">
        <f t="shared" si="48"/>
        <v>TANGERINE</v>
      </c>
      <c r="D87" s="285" t="str">
        <f t="shared" si="48"/>
        <v>FLESH</v>
      </c>
      <c r="E87" s="607"/>
      <c r="F87" s="53"/>
      <c r="G87" s="782"/>
      <c r="H87" s="782"/>
      <c r="I87" s="782"/>
      <c r="J87" s="782"/>
      <c r="K87" s="782"/>
      <c r="L87" s="782"/>
      <c r="M87" s="782"/>
      <c r="N87" s="782"/>
      <c r="O87" s="782"/>
      <c r="P87" s="782"/>
      <c r="Q87" s="782"/>
      <c r="R87" s="782"/>
      <c r="S87" s="782"/>
      <c r="T87" s="782"/>
      <c r="U87" s="782"/>
      <c r="V87" s="189"/>
      <c r="W87" s="112">
        <v>5</v>
      </c>
      <c r="X87" s="113">
        <v>1.424</v>
      </c>
      <c r="Y87" s="144"/>
      <c r="Z87" s="232"/>
      <c r="AA87" s="635" t="s">
        <v>199</v>
      </c>
      <c r="AB87" s="621" t="s">
        <v>228</v>
      </c>
      <c r="AC87" s="628">
        <v>9.7</v>
      </c>
      <c r="AD87" s="630">
        <v>0.95</v>
      </c>
      <c r="AE87" s="630">
        <v>0.01</v>
      </c>
      <c r="AF87" s="629">
        <v>10.9</v>
      </c>
      <c r="AG87" s="630">
        <v>0.9</v>
      </c>
      <c r="AH87" s="628">
        <v>140</v>
      </c>
      <c r="AI87" s="628">
        <v>170</v>
      </c>
      <c r="AJ87" s="628">
        <v>0.06</v>
      </c>
      <c r="AK87" s="628">
        <v>0.03</v>
      </c>
      <c r="AL87" s="628">
        <v>0.22</v>
      </c>
      <c r="AM87" s="628">
        <v>0</v>
      </c>
      <c r="AN87" s="893"/>
      <c r="AO87" s="138">
        <f t="shared" si="49"/>
        <v>0</v>
      </c>
      <c r="AP87" s="161">
        <f t="shared" si="50"/>
        <v>0</v>
      </c>
      <c r="AQ87" s="162">
        <f t="shared" si="51"/>
        <v>0</v>
      </c>
      <c r="AR87" s="162">
        <f t="shared" si="52"/>
        <v>0</v>
      </c>
      <c r="AS87" s="162">
        <f t="shared" si="53"/>
        <v>0</v>
      </c>
      <c r="AT87" s="162">
        <f t="shared" si="54"/>
        <v>0</v>
      </c>
      <c r="AU87" s="161">
        <f t="shared" si="55"/>
        <v>0</v>
      </c>
      <c r="AV87" s="161">
        <f t="shared" si="55"/>
        <v>0</v>
      </c>
      <c r="AW87" s="161">
        <f t="shared" si="55"/>
        <v>0</v>
      </c>
      <c r="AX87" s="161">
        <f t="shared" si="55"/>
        <v>0</v>
      </c>
      <c r="AY87" s="161">
        <f t="shared" si="55"/>
        <v>0</v>
      </c>
      <c r="AZ87" s="165">
        <f t="shared" si="55"/>
        <v>0</v>
      </c>
      <c r="BA87" s="246"/>
    </row>
    <row r="88" spans="1:53" ht="14.25" customHeight="1">
      <c r="A88" s="37"/>
      <c r="B88" s="688">
        <v>0</v>
      </c>
      <c r="C88" s="494" t="str">
        <f t="shared" si="48"/>
        <v>        "</v>
      </c>
      <c r="D88" s="285" t="str">
        <f t="shared" si="48"/>
        <v>JUICE</v>
      </c>
      <c r="E88" s="607"/>
      <c r="F88" s="53"/>
      <c r="G88" s="1138" t="s">
        <v>713</v>
      </c>
      <c r="H88" s="1138"/>
      <c r="I88" s="1138"/>
      <c r="J88" s="1138"/>
      <c r="K88" s="1218" t="s">
        <v>307</v>
      </c>
      <c r="L88" s="1218"/>
      <c r="M88" s="1218"/>
      <c r="N88" s="1218"/>
      <c r="O88" s="1218"/>
      <c r="P88" s="1218"/>
      <c r="Q88" s="782"/>
      <c r="R88" s="782"/>
      <c r="S88" s="782"/>
      <c r="T88" s="782"/>
      <c r="U88" s="782"/>
      <c r="V88" s="224"/>
      <c r="W88" s="112">
        <v>6</v>
      </c>
      <c r="X88" s="113">
        <v>1.377</v>
      </c>
      <c r="Y88" s="144"/>
      <c r="Z88" s="232"/>
      <c r="AA88" s="635" t="s">
        <v>602</v>
      </c>
      <c r="AB88" s="621" t="s">
        <v>232</v>
      </c>
      <c r="AC88" s="628">
        <v>12</v>
      </c>
      <c r="AD88" s="628">
        <v>1.3</v>
      </c>
      <c r="AE88" s="630">
        <v>0.01</v>
      </c>
      <c r="AF88" s="629">
        <v>13</v>
      </c>
      <c r="AG88" s="630">
        <v>0.2</v>
      </c>
      <c r="AH88" s="628">
        <v>140</v>
      </c>
      <c r="AI88" s="628">
        <v>170</v>
      </c>
      <c r="AJ88" s="628">
        <v>0.06</v>
      </c>
      <c r="AK88" s="628">
        <v>0.1</v>
      </c>
      <c r="AL88" s="628">
        <v>0.125</v>
      </c>
      <c r="AM88" s="628">
        <v>0.042</v>
      </c>
      <c r="AN88" s="893"/>
      <c r="AO88" s="138">
        <f t="shared" si="49"/>
        <v>0</v>
      </c>
      <c r="AP88" s="161">
        <f t="shared" si="50"/>
        <v>0</v>
      </c>
      <c r="AQ88" s="162">
        <f t="shared" si="51"/>
        <v>0</v>
      </c>
      <c r="AR88" s="162">
        <f t="shared" si="52"/>
        <v>0</v>
      </c>
      <c r="AS88" s="162">
        <f t="shared" si="53"/>
        <v>0</v>
      </c>
      <c r="AT88" s="162">
        <f t="shared" si="54"/>
        <v>0</v>
      </c>
      <c r="AU88" s="161">
        <f t="shared" si="55"/>
        <v>0</v>
      </c>
      <c r="AV88" s="161">
        <f t="shared" si="55"/>
        <v>0</v>
      </c>
      <c r="AW88" s="161">
        <f t="shared" si="55"/>
        <v>0</v>
      </c>
      <c r="AX88" s="161">
        <f t="shared" si="55"/>
        <v>0</v>
      </c>
      <c r="AY88" s="161">
        <f t="shared" si="55"/>
        <v>0</v>
      </c>
      <c r="AZ88" s="165">
        <f t="shared" si="55"/>
        <v>0</v>
      </c>
      <c r="BA88" s="246"/>
    </row>
    <row r="89" spans="1:53" ht="14.25" customHeight="1">
      <c r="A89" s="37"/>
      <c r="B89" s="688">
        <v>0.04</v>
      </c>
      <c r="C89" s="494" t="str">
        <f t="shared" si="48"/>
        <v>WATERMELON</v>
      </c>
      <c r="D89" s="285" t="str">
        <f t="shared" si="48"/>
        <v>-</v>
      </c>
      <c r="E89" s="607"/>
      <c r="F89" s="37"/>
      <c r="G89" s="270"/>
      <c r="H89" s="1140" t="s">
        <v>272</v>
      </c>
      <c r="I89" s="1140"/>
      <c r="J89" s="608">
        <v>750</v>
      </c>
      <c r="K89" s="1180" t="str">
        <f>"= "&amp;FIXED(W75*J89,0)&amp;" calories from the alcohol"</f>
        <v>= 479 calories from the alcohol</v>
      </c>
      <c r="L89" s="1180"/>
      <c r="M89" s="1180"/>
      <c r="N89" s="270"/>
      <c r="O89" s="270"/>
      <c r="P89" s="1140" t="s">
        <v>327</v>
      </c>
      <c r="Q89" s="1140"/>
      <c r="R89" s="608">
        <v>125</v>
      </c>
      <c r="S89" s="1217" t="str">
        <f>"= "&amp;FIXED(W75*R89,0)&amp;" cals from the alcohol"</f>
        <v>= 80 cals from the alcohol</v>
      </c>
      <c r="T89" s="1217"/>
      <c r="U89" s="1217"/>
      <c r="V89" s="1217"/>
      <c r="W89" s="112">
        <v>7</v>
      </c>
      <c r="X89" s="113">
        <v>1.331</v>
      </c>
      <c r="Y89" s="758"/>
      <c r="Z89" s="759"/>
      <c r="AA89" s="635" t="s">
        <v>200</v>
      </c>
      <c r="AB89" s="621" t="s">
        <v>595</v>
      </c>
      <c r="AC89" s="628">
        <v>6.2</v>
      </c>
      <c r="AD89" s="628">
        <v>0.2</v>
      </c>
      <c r="AE89" s="630">
        <v>0.1</v>
      </c>
      <c r="AF89" s="629">
        <v>7.6</v>
      </c>
      <c r="AG89" s="630">
        <v>0.5</v>
      </c>
      <c r="AH89" s="630">
        <v>140</v>
      </c>
      <c r="AI89" s="628">
        <v>110</v>
      </c>
      <c r="AJ89" s="628">
        <v>0.033</v>
      </c>
      <c r="AK89" s="628">
        <v>0.178</v>
      </c>
      <c r="AL89" s="628">
        <v>0.221</v>
      </c>
      <c r="AM89" s="628">
        <v>0.045</v>
      </c>
      <c r="AN89" s="893"/>
      <c r="AO89" s="138">
        <f t="shared" si="49"/>
        <v>0</v>
      </c>
      <c r="AP89" s="161">
        <f t="shared" si="50"/>
        <v>0</v>
      </c>
      <c r="AQ89" s="162">
        <f t="shared" si="51"/>
        <v>0</v>
      </c>
      <c r="AR89" s="162">
        <f t="shared" si="52"/>
        <v>0</v>
      </c>
      <c r="AS89" s="162">
        <f t="shared" si="53"/>
        <v>0</v>
      </c>
      <c r="AT89" s="162">
        <f t="shared" si="54"/>
        <v>0</v>
      </c>
      <c r="AU89" s="161">
        <f t="shared" si="55"/>
        <v>0</v>
      </c>
      <c r="AV89" s="161">
        <f t="shared" si="55"/>
        <v>0</v>
      </c>
      <c r="AW89" s="161">
        <f t="shared" si="55"/>
        <v>0</v>
      </c>
      <c r="AX89" s="161">
        <f t="shared" si="55"/>
        <v>0</v>
      </c>
      <c r="AY89" s="161">
        <f t="shared" si="55"/>
        <v>0</v>
      </c>
      <c r="AZ89" s="165">
        <f t="shared" si="55"/>
        <v>0</v>
      </c>
      <c r="BA89" s="246"/>
    </row>
    <row r="90" spans="1:53" ht="14.25" customHeight="1">
      <c r="A90" s="37"/>
      <c r="B90" s="688">
        <v>0.17</v>
      </c>
      <c r="C90" s="494" t="str">
        <f t="shared" si="48"/>
        <v>WHITECURRANT</v>
      </c>
      <c r="D90" s="285" t="str">
        <f t="shared" si="48"/>
        <v>-</v>
      </c>
      <c r="E90" s="607"/>
      <c r="F90" s="37"/>
      <c r="G90" s="270"/>
      <c r="H90" s="782"/>
      <c r="I90" s="520"/>
      <c r="J90" s="520"/>
      <c r="K90" s="1136" t="str">
        <f>"= "&amp;FIXED(Y60*J41*J89/(1000*J56),0)&amp;" calories from the sweetening sugar"</f>
        <v>= 0 calories from the sweetening sugar</v>
      </c>
      <c r="L90" s="1136"/>
      <c r="M90" s="1136"/>
      <c r="N90" s="1136"/>
      <c r="O90" s="1134" t="s">
        <v>332</v>
      </c>
      <c r="P90" s="1134"/>
      <c r="Q90" s="1134"/>
      <c r="R90" s="782"/>
      <c r="S90" s="1144" t="str">
        <f>"= "&amp;FIXED(Y60*J41*R89/(1000*J56),0)&amp;" cals from the sweetening sugar"</f>
        <v>= 0 cals from the sweetening sugar</v>
      </c>
      <c r="T90" s="1144"/>
      <c r="U90" s="1144"/>
      <c r="V90" s="1144"/>
      <c r="W90" s="112">
        <v>8</v>
      </c>
      <c r="X90" s="113">
        <v>1.282</v>
      </c>
      <c r="Y90" s="784"/>
      <c r="Z90" s="785"/>
      <c r="AA90" s="635" t="s">
        <v>201</v>
      </c>
      <c r="AB90" s="621" t="s">
        <v>595</v>
      </c>
      <c r="AC90" s="628">
        <v>7.37</v>
      </c>
      <c r="AD90" s="630">
        <v>2.2</v>
      </c>
      <c r="AE90" s="630">
        <v>0.1</v>
      </c>
      <c r="AF90" s="629">
        <v>13.8</v>
      </c>
      <c r="AG90" s="628">
        <v>0.6</v>
      </c>
      <c r="AH90" s="628">
        <v>200</v>
      </c>
      <c r="AI90" s="628">
        <v>270</v>
      </c>
      <c r="AJ90" s="628">
        <v>0.04</v>
      </c>
      <c r="AK90" s="628">
        <v>0.1</v>
      </c>
      <c r="AL90" s="628">
        <v>0.064</v>
      </c>
      <c r="AM90" s="628">
        <v>0.07</v>
      </c>
      <c r="AN90" s="893"/>
      <c r="AO90" s="138">
        <f t="shared" si="49"/>
        <v>0</v>
      </c>
      <c r="AP90" s="161">
        <f t="shared" si="50"/>
        <v>0</v>
      </c>
      <c r="AQ90" s="162">
        <f t="shared" si="51"/>
        <v>0</v>
      </c>
      <c r="AR90" s="162">
        <f t="shared" si="52"/>
        <v>0</v>
      </c>
      <c r="AS90" s="162">
        <f t="shared" si="53"/>
        <v>0</v>
      </c>
      <c r="AT90" s="162">
        <f t="shared" si="54"/>
        <v>0</v>
      </c>
      <c r="AU90" s="161">
        <f t="shared" si="55"/>
        <v>0</v>
      </c>
      <c r="AV90" s="161">
        <f t="shared" si="55"/>
        <v>0</v>
      </c>
      <c r="AW90" s="161">
        <f t="shared" si="55"/>
        <v>0</v>
      </c>
      <c r="AX90" s="161">
        <f t="shared" si="55"/>
        <v>0</v>
      </c>
      <c r="AY90" s="161">
        <f t="shared" si="55"/>
        <v>0</v>
      </c>
      <c r="AZ90" s="165">
        <f t="shared" si="55"/>
        <v>0</v>
      </c>
      <c r="BA90" s="246"/>
    </row>
    <row r="91" spans="1:55" ht="14.25" customHeight="1">
      <c r="A91" s="37"/>
      <c r="B91" s="691">
        <v>0</v>
      </c>
      <c r="C91" s="494" t="str">
        <f t="shared" si="48"/>
        <v>OTHER</v>
      </c>
      <c r="D91" s="285" t="str">
        <f t="shared" si="48"/>
        <v>-</v>
      </c>
      <c r="E91" s="617"/>
      <c r="F91" s="37"/>
      <c r="G91" s="270"/>
      <c r="H91" s="782"/>
      <c r="I91" s="520"/>
      <c r="J91" s="520"/>
      <c r="K91" s="1179" t="str">
        <f>"= "&amp;FIXED((W76*J89*Y60),1)&amp;" calories from the residual sugars"</f>
        <v>= 5.4 calories from the residual sugars</v>
      </c>
      <c r="L91" s="1179"/>
      <c r="M91" s="1179"/>
      <c r="N91" s="1179"/>
      <c r="O91" s="1135" t="s">
        <v>670</v>
      </c>
      <c r="P91" s="1135"/>
      <c r="Q91" s="1135"/>
      <c r="R91" s="782"/>
      <c r="S91" s="1227" t="str">
        <f>"= "&amp;FIXED((W76*R89*Y60),1)&amp;" cals from the residual sugars"</f>
        <v>= 0.9 cals from the residual sugars</v>
      </c>
      <c r="T91" s="1227"/>
      <c r="U91" s="1227"/>
      <c r="V91" s="1227"/>
      <c r="W91" s="112">
        <v>9</v>
      </c>
      <c r="X91" s="113">
        <v>1.237</v>
      </c>
      <c r="Y91" s="784"/>
      <c r="Z91" s="785"/>
      <c r="AA91" s="635" t="s">
        <v>184</v>
      </c>
      <c r="AB91" s="621" t="s">
        <v>595</v>
      </c>
      <c r="AC91" s="628">
        <v>0</v>
      </c>
      <c r="AD91" s="628">
        <v>0</v>
      </c>
      <c r="AE91" s="628">
        <v>0</v>
      </c>
      <c r="AF91" s="628">
        <v>0</v>
      </c>
      <c r="AG91" s="628">
        <v>0</v>
      </c>
      <c r="AH91" s="628">
        <v>0</v>
      </c>
      <c r="AI91" s="628">
        <v>0</v>
      </c>
      <c r="AJ91" s="628">
        <v>0</v>
      </c>
      <c r="AK91" s="628">
        <v>0</v>
      </c>
      <c r="AL91" s="628">
        <v>0</v>
      </c>
      <c r="AM91" s="628">
        <v>0</v>
      </c>
      <c r="AN91" s="159"/>
      <c r="AO91" s="138">
        <f t="shared" si="49"/>
        <v>0</v>
      </c>
      <c r="AP91" s="161">
        <f t="shared" si="50"/>
        <v>0</v>
      </c>
      <c r="AQ91" s="162">
        <f t="shared" si="51"/>
        <v>0</v>
      </c>
      <c r="AR91" s="162">
        <f t="shared" si="52"/>
        <v>0</v>
      </c>
      <c r="AS91" s="162">
        <f t="shared" si="53"/>
        <v>0</v>
      </c>
      <c r="AT91" s="162">
        <f t="shared" si="54"/>
        <v>0</v>
      </c>
      <c r="AU91" s="161">
        <f t="shared" si="55"/>
        <v>0</v>
      </c>
      <c r="AV91" s="161">
        <f t="shared" si="55"/>
        <v>0</v>
      </c>
      <c r="AW91" s="161">
        <f t="shared" si="55"/>
        <v>0</v>
      </c>
      <c r="AX91" s="161">
        <f t="shared" si="55"/>
        <v>0</v>
      </c>
      <c r="AY91" s="161">
        <f t="shared" si="55"/>
        <v>0</v>
      </c>
      <c r="AZ91" s="165">
        <f t="shared" si="55"/>
        <v>0</v>
      </c>
      <c r="BA91" s="246"/>
      <c r="BB91" s="139"/>
      <c r="BC91" s="139"/>
    </row>
    <row r="92" spans="1:53" ht="14.25" customHeight="1">
      <c r="A92" s="37"/>
      <c r="B92" s="1244" t="s">
        <v>147</v>
      </c>
      <c r="C92" s="1248" t="s">
        <v>202</v>
      </c>
      <c r="D92" s="1249"/>
      <c r="E92" s="378" t="s">
        <v>236</v>
      </c>
      <c r="F92" s="380" t="s">
        <v>244</v>
      </c>
      <c r="G92" s="270"/>
      <c r="H92" s="782"/>
      <c r="I92" s="782"/>
      <c r="J92" s="782"/>
      <c r="K92" s="1137" t="str">
        <f>"= "&amp;FIXED((W76*J89)+(J89*J41/(1000*J56)),1)&amp;"g carbohyradates"</f>
        <v>= 1.4g carbohyradates</v>
      </c>
      <c r="L92" s="1137"/>
      <c r="M92" s="1137"/>
      <c r="N92" s="1137"/>
      <c r="O92" s="1133" t="str">
        <f>"(Presently set to "&amp;FIXED(J41,0)&amp;")"</f>
        <v>(Presently set to 0)</v>
      </c>
      <c r="P92" s="1133"/>
      <c r="Q92" s="1133"/>
      <c r="R92" s="782"/>
      <c r="S92" s="1214" t="str">
        <f>"= "&amp;FIXED((W76*R89)+(R89*J41/(1000*J56)),1)&amp;"g carbohyradates"</f>
        <v>= 0.2g carbohyradates</v>
      </c>
      <c r="T92" s="1214"/>
      <c r="U92" s="1214"/>
      <c r="V92" s="1214"/>
      <c r="W92" s="112">
        <v>10</v>
      </c>
      <c r="X92" s="113">
        <v>1.194</v>
      </c>
      <c r="Y92" s="784"/>
      <c r="Z92" s="785"/>
      <c r="AA92" s="637"/>
      <c r="AB92" s="637"/>
      <c r="AC92" s="637"/>
      <c r="AD92" s="637"/>
      <c r="AE92" s="637"/>
      <c r="AF92" s="637"/>
      <c r="AG92" s="637"/>
      <c r="AH92" s="637"/>
      <c r="AI92" s="637"/>
      <c r="AJ92" s="637"/>
      <c r="AK92" s="637"/>
      <c r="AL92" s="637"/>
      <c r="AM92" s="637"/>
      <c r="AN92" s="902"/>
      <c r="AO92" s="474" t="s">
        <v>244</v>
      </c>
      <c r="AP92" s="146" t="s">
        <v>310</v>
      </c>
      <c r="AQ92" s="146" t="s">
        <v>316</v>
      </c>
      <c r="AR92" s="146" t="s">
        <v>318</v>
      </c>
      <c r="AS92" s="146" t="s">
        <v>329</v>
      </c>
      <c r="AT92" s="145" t="s">
        <v>319</v>
      </c>
      <c r="AU92" s="145" t="s">
        <v>330</v>
      </c>
      <c r="AV92" s="145" t="s">
        <v>333</v>
      </c>
      <c r="AW92" s="145" t="s">
        <v>339</v>
      </c>
      <c r="AX92" s="145" t="s">
        <v>343</v>
      </c>
      <c r="AY92" s="149" t="s">
        <v>349</v>
      </c>
      <c r="AZ92" s="143"/>
      <c r="BA92" s="246"/>
    </row>
    <row r="93" spans="1:53" ht="14.25" customHeight="1">
      <c r="A93" s="37"/>
      <c r="B93" s="1245"/>
      <c r="C93" s="1246" t="s">
        <v>203</v>
      </c>
      <c r="D93" s="1247"/>
      <c r="E93" s="379" t="s">
        <v>43</v>
      </c>
      <c r="F93" s="381" t="s">
        <v>134</v>
      </c>
      <c r="G93" s="270"/>
      <c r="H93" s="302"/>
      <c r="I93" s="1242" t="s">
        <v>279</v>
      </c>
      <c r="J93" s="1242"/>
      <c r="K93" s="1341" t="str">
        <f>"= "&amp;FIXED(((W75*J89)+($W76*J89*Y60)),0)&amp;" calories"</f>
        <v>= 485 calories</v>
      </c>
      <c r="L93" s="1341"/>
      <c r="M93" s="1341"/>
      <c r="N93" s="1341"/>
      <c r="O93" s="782"/>
      <c r="P93" s="29"/>
      <c r="Q93" s="1242" t="s">
        <v>279</v>
      </c>
      <c r="R93" s="1242"/>
      <c r="S93" s="1213" t="str">
        <f>"= "&amp;FIXED(((W75*R89)+(W76*R89*Y60)),0)&amp;" calories"</f>
        <v>= 81 calories</v>
      </c>
      <c r="T93" s="1213"/>
      <c r="U93" s="1213"/>
      <c r="V93" s="1213"/>
      <c r="W93" s="112">
        <v>11</v>
      </c>
      <c r="X93" s="113">
        <v>1.154</v>
      </c>
      <c r="Y93" s="784"/>
      <c r="Z93" s="785"/>
      <c r="AA93" s="1211" t="s">
        <v>684</v>
      </c>
      <c r="AB93" s="1211"/>
      <c r="AC93" s="1211"/>
      <c r="AD93" s="1211"/>
      <c r="AE93" s="1211"/>
      <c r="AF93" s="1211"/>
      <c r="AG93" s="1211"/>
      <c r="AH93" s="1211"/>
      <c r="AI93" s="1211"/>
      <c r="AJ93" s="1211"/>
      <c r="AK93" s="1211"/>
      <c r="AL93" s="1211"/>
      <c r="AM93" s="1211"/>
      <c r="AN93" s="903"/>
      <c r="AO93" s="148" t="s">
        <v>43</v>
      </c>
      <c r="AP93" s="145" t="s">
        <v>43</v>
      </c>
      <c r="AQ93" s="145" t="s">
        <v>43</v>
      </c>
      <c r="AR93" s="145" t="s">
        <v>43</v>
      </c>
      <c r="AS93" s="145" t="s">
        <v>43</v>
      </c>
      <c r="AT93" s="145" t="s">
        <v>43</v>
      </c>
      <c r="AU93" s="145" t="s">
        <v>43</v>
      </c>
      <c r="AV93" s="145" t="s">
        <v>43</v>
      </c>
      <c r="AW93" s="145" t="s">
        <v>43</v>
      </c>
      <c r="AX93" s="145" t="s">
        <v>43</v>
      </c>
      <c r="AY93" s="149" t="s">
        <v>43</v>
      </c>
      <c r="AZ93" s="143"/>
      <c r="BA93" s="246"/>
    </row>
    <row r="94" spans="1:53" ht="14.25" customHeight="1">
      <c r="A94" s="37"/>
      <c r="B94" s="690">
        <v>0.18</v>
      </c>
      <c r="C94" s="494" t="str">
        <f aca="true" t="shared" si="56" ref="C94:C113">AA94</f>
        <v>APRICOTS</v>
      </c>
      <c r="D94" s="285" t="str">
        <f aca="true" t="shared" si="57" ref="D94:D113">AB94</f>
        <v>-</v>
      </c>
      <c r="E94" s="607">
        <v>410</v>
      </c>
      <c r="F94" s="618">
        <v>13.7</v>
      </c>
      <c r="G94" s="1253" t="s">
        <v>699</v>
      </c>
      <c r="H94" s="29"/>
      <c r="I94" s="1242" t="s">
        <v>280</v>
      </c>
      <c r="J94" s="1242"/>
      <c r="K94" s="1281" t="str">
        <f>"= "&amp;FIXED(J89*(J83-J84)/(7.75-(3*(J83-1000)/800))/1000,1)&amp;" units of alcohol (UK)."</f>
        <v>= 8.6 units of alcohol (UK).</v>
      </c>
      <c r="L94" s="1281"/>
      <c r="M94" s="1281"/>
      <c r="N94" s="1281"/>
      <c r="O94" s="29"/>
      <c r="P94" s="520"/>
      <c r="Q94" s="1242" t="s">
        <v>280</v>
      </c>
      <c r="R94" s="1242"/>
      <c r="S94" s="1227" t="str">
        <f>"= "&amp;FIXED(R89*(J83-J84)/(7.75-(3*(J83-1000)/800))/1000,1)&amp;" units of alcohol (UK)."</f>
        <v>= 1.4 units of alcohol (UK).</v>
      </c>
      <c r="T94" s="1227"/>
      <c r="U94" s="1227"/>
      <c r="V94" s="1227"/>
      <c r="W94" s="112">
        <v>12</v>
      </c>
      <c r="X94" s="113">
        <v>1.117</v>
      </c>
      <c r="Y94" s="784"/>
      <c r="Z94" s="785"/>
      <c r="AA94" s="635" t="s">
        <v>204</v>
      </c>
      <c r="AB94" s="621" t="s">
        <v>595</v>
      </c>
      <c r="AC94" s="633"/>
      <c r="AD94" s="622">
        <v>0.5</v>
      </c>
      <c r="AE94" s="624">
        <v>0.05</v>
      </c>
      <c r="AF94" s="623">
        <f aca="true" t="shared" si="58" ref="AF94:AF104">F94*1.1</f>
        <v>15.07</v>
      </c>
      <c r="AG94" s="624">
        <v>0.2</v>
      </c>
      <c r="AH94" s="624">
        <v>100</v>
      </c>
      <c r="AI94" s="622">
        <v>138</v>
      </c>
      <c r="AJ94" s="622">
        <v>0.02</v>
      </c>
      <c r="AK94" s="622">
        <v>0.3</v>
      </c>
      <c r="AL94" s="622">
        <v>0.096</v>
      </c>
      <c r="AM94" s="622">
        <v>0.05</v>
      </c>
      <c r="AN94" s="155" t="s">
        <v>396</v>
      </c>
      <c r="AO94" s="153">
        <f aca="true" t="shared" si="59" ref="AO94:AO113">B94*E94</f>
        <v>73.8</v>
      </c>
      <c r="AP94" s="156">
        <f aca="true" t="shared" si="60" ref="AP94:AP113">E94*F94/100</f>
        <v>56.17</v>
      </c>
      <c r="AQ94" s="154">
        <f aca="true" t="shared" si="61" ref="AQ94:AQ113">E94*AD94/100</f>
        <v>2.05</v>
      </c>
      <c r="AR94" s="154">
        <f aca="true" t="shared" si="62" ref="AR94:AR113">E94*AE94/100</f>
        <v>0.205</v>
      </c>
      <c r="AS94" s="154">
        <f aca="true" t="shared" si="63" ref="AS94:AS113">E94*(AF94-F94)/100</f>
        <v>5.6170000000000035</v>
      </c>
      <c r="AT94" s="154">
        <f aca="true" t="shared" si="64" ref="AT94:AT113">E94*AG94/1200</f>
        <v>0.06833333333333333</v>
      </c>
      <c r="AU94" s="143">
        <f aca="true" t="shared" si="65" ref="AU94:AU113">$E94*AH94/100</f>
        <v>410</v>
      </c>
      <c r="AV94" s="143">
        <f aca="true" t="shared" si="66" ref="AV94:AV113">$E94*AI94/100</f>
        <v>565.8</v>
      </c>
      <c r="AW94" s="143">
        <f aca="true" t="shared" si="67" ref="AW94:AW113">$E94*AJ94/100</f>
        <v>0.08199999999999999</v>
      </c>
      <c r="AX94" s="143">
        <f aca="true" t="shared" si="68" ref="AX94:AX113">$E94*AK94/100</f>
        <v>1.23</v>
      </c>
      <c r="AY94" s="143">
        <f aca="true" t="shared" si="69" ref="AY94:AY113">$E94*AL94/100</f>
        <v>0.3936</v>
      </c>
      <c r="AZ94" s="157">
        <f aca="true" t="shared" si="70" ref="AZ94:AZ113">$E94*AM94/100</f>
        <v>0.205</v>
      </c>
      <c r="BA94" s="246"/>
    </row>
    <row r="95" spans="1:53" ht="14.25" customHeight="1">
      <c r="A95" s="37"/>
      <c r="B95" s="688">
        <v>0.15</v>
      </c>
      <c r="C95" s="494" t="str">
        <f t="shared" si="56"/>
        <v>CHERRY</v>
      </c>
      <c r="D95" s="285" t="str">
        <f t="shared" si="57"/>
        <v>-</v>
      </c>
      <c r="E95" s="607"/>
      <c r="F95" s="618">
        <v>12</v>
      </c>
      <c r="G95" s="1253"/>
      <c r="H95" s="782"/>
      <c r="I95" s="782"/>
      <c r="J95" s="782"/>
      <c r="K95" s="782"/>
      <c r="L95" s="782"/>
      <c r="M95" s="782"/>
      <c r="N95" s="782"/>
      <c r="O95" s="782"/>
      <c r="P95" s="782"/>
      <c r="Q95" s="782"/>
      <c r="R95" s="782"/>
      <c r="S95" s="782"/>
      <c r="T95" s="782"/>
      <c r="U95" s="782"/>
      <c r="V95" s="782"/>
      <c r="W95" s="765">
        <v>13</v>
      </c>
      <c r="X95" s="766">
        <v>1.083</v>
      </c>
      <c r="Y95" s="144"/>
      <c r="Z95" s="232"/>
      <c r="AA95" s="635" t="s">
        <v>162</v>
      </c>
      <c r="AB95" s="621" t="s">
        <v>595</v>
      </c>
      <c r="AC95" s="633"/>
      <c r="AD95" s="624">
        <v>0.25</v>
      </c>
      <c r="AE95" s="624">
        <v>0.05</v>
      </c>
      <c r="AF95" s="623">
        <f t="shared" si="58"/>
        <v>13.200000000000001</v>
      </c>
      <c r="AG95" s="624">
        <v>0.2</v>
      </c>
      <c r="AH95" s="624">
        <v>100</v>
      </c>
      <c r="AI95" s="622">
        <v>95</v>
      </c>
      <c r="AJ95" s="622">
        <v>0.02</v>
      </c>
      <c r="AK95" s="622">
        <v>0.17</v>
      </c>
      <c r="AL95" s="622"/>
      <c r="AM95" s="622">
        <v>0.04</v>
      </c>
      <c r="AN95" s="155" t="s">
        <v>396</v>
      </c>
      <c r="AO95" s="153">
        <f t="shared" si="59"/>
        <v>0</v>
      </c>
      <c r="AP95" s="156">
        <f t="shared" si="60"/>
        <v>0</v>
      </c>
      <c r="AQ95" s="154">
        <f t="shared" si="61"/>
        <v>0</v>
      </c>
      <c r="AR95" s="154">
        <f t="shared" si="62"/>
        <v>0</v>
      </c>
      <c r="AS95" s="154">
        <f t="shared" si="63"/>
        <v>0</v>
      </c>
      <c r="AT95" s="154">
        <f t="shared" si="64"/>
        <v>0</v>
      </c>
      <c r="AU95" s="143">
        <f t="shared" si="65"/>
        <v>0</v>
      </c>
      <c r="AV95" s="143">
        <f t="shared" si="66"/>
        <v>0</v>
      </c>
      <c r="AW95" s="143">
        <f t="shared" si="67"/>
        <v>0</v>
      </c>
      <c r="AX95" s="143">
        <f t="shared" si="68"/>
        <v>0</v>
      </c>
      <c r="AY95" s="143">
        <f t="shared" si="69"/>
        <v>0</v>
      </c>
      <c r="AZ95" s="157">
        <f t="shared" si="70"/>
        <v>0</v>
      </c>
      <c r="BA95" s="246"/>
    </row>
    <row r="96" spans="1:53" ht="14.25" customHeight="1">
      <c r="A96" s="37"/>
      <c r="B96" s="688">
        <v>0.24</v>
      </c>
      <c r="C96" s="494" t="str">
        <f t="shared" si="56"/>
        <v>FRUIT SALAD</v>
      </c>
      <c r="D96" s="285" t="str">
        <f t="shared" si="57"/>
        <v>-</v>
      </c>
      <c r="E96" s="607"/>
      <c r="F96" s="618">
        <v>13</v>
      </c>
      <c r="G96" s="1253"/>
      <c r="H96" s="782"/>
      <c r="I96" s="782"/>
      <c r="J96" s="782"/>
      <c r="K96" s="782"/>
      <c r="L96" s="782"/>
      <c r="M96" s="782"/>
      <c r="N96" s="782"/>
      <c r="O96" s="782"/>
      <c r="P96" s="782"/>
      <c r="Q96" s="782"/>
      <c r="R96" s="782"/>
      <c r="S96" s="782"/>
      <c r="T96" s="782"/>
      <c r="U96" s="782"/>
      <c r="V96" s="782"/>
      <c r="W96" s="112">
        <v>14</v>
      </c>
      <c r="X96" s="211">
        <v>1.05</v>
      </c>
      <c r="Y96" s="144"/>
      <c r="Z96" s="232"/>
      <c r="AA96" s="635" t="s">
        <v>205</v>
      </c>
      <c r="AB96" s="621" t="s">
        <v>595</v>
      </c>
      <c r="AC96" s="633"/>
      <c r="AD96" s="624">
        <v>0.4</v>
      </c>
      <c r="AE96" s="624">
        <v>0.05</v>
      </c>
      <c r="AF96" s="623">
        <f t="shared" si="58"/>
        <v>14.3</v>
      </c>
      <c r="AG96" s="624">
        <v>0.2</v>
      </c>
      <c r="AH96" s="624">
        <v>100</v>
      </c>
      <c r="AI96" s="622">
        <v>80</v>
      </c>
      <c r="AJ96" s="622">
        <v>0.014</v>
      </c>
      <c r="AK96" s="622">
        <v>0.02</v>
      </c>
      <c r="AL96" s="622">
        <v>0.053</v>
      </c>
      <c r="AM96" s="622">
        <v>0.032</v>
      </c>
      <c r="AN96" s="155"/>
      <c r="AO96" s="153">
        <f t="shared" si="59"/>
        <v>0</v>
      </c>
      <c r="AP96" s="156">
        <f t="shared" si="60"/>
        <v>0</v>
      </c>
      <c r="AQ96" s="154">
        <f t="shared" si="61"/>
        <v>0</v>
      </c>
      <c r="AR96" s="154">
        <f t="shared" si="62"/>
        <v>0</v>
      </c>
      <c r="AS96" s="154">
        <f t="shared" si="63"/>
        <v>0</v>
      </c>
      <c r="AT96" s="154">
        <f t="shared" si="64"/>
        <v>0</v>
      </c>
      <c r="AU96" s="143">
        <f t="shared" si="65"/>
        <v>0</v>
      </c>
      <c r="AV96" s="143">
        <f t="shared" si="66"/>
        <v>0</v>
      </c>
      <c r="AW96" s="143">
        <f t="shared" si="67"/>
        <v>0</v>
      </c>
      <c r="AX96" s="143">
        <f t="shared" si="68"/>
        <v>0</v>
      </c>
      <c r="AY96" s="143">
        <f t="shared" si="69"/>
        <v>0</v>
      </c>
      <c r="AZ96" s="157">
        <f t="shared" si="70"/>
        <v>0</v>
      </c>
      <c r="BA96" s="246"/>
    </row>
    <row r="97" spans="1:53" ht="14.25" customHeight="1">
      <c r="A97" s="37"/>
      <c r="B97" s="688">
        <v>0.2</v>
      </c>
      <c r="C97" s="494" t="str">
        <f t="shared" si="56"/>
        <v>GOOSEBERRY</v>
      </c>
      <c r="D97" s="285" t="str">
        <f t="shared" si="57"/>
        <v>-</v>
      </c>
      <c r="E97" s="607"/>
      <c r="F97" s="618">
        <v>22</v>
      </c>
      <c r="G97" s="1253"/>
      <c r="H97" s="1254" t="s">
        <v>273</v>
      </c>
      <c r="I97" s="1254"/>
      <c r="J97" s="1254"/>
      <c r="K97" s="509"/>
      <c r="L97" s="509"/>
      <c r="M97" s="509"/>
      <c r="N97" s="509"/>
      <c r="O97" s="782"/>
      <c r="P97" s="509"/>
      <c r="Q97" s="509"/>
      <c r="R97" s="517"/>
      <c r="S97" s="782"/>
      <c r="T97" s="782"/>
      <c r="U97" s="782"/>
      <c r="V97" s="782"/>
      <c r="W97" s="112">
        <v>15</v>
      </c>
      <c r="X97" s="211">
        <v>1.019</v>
      </c>
      <c r="Y97" s="144"/>
      <c r="Z97" s="232"/>
      <c r="AA97" s="635" t="s">
        <v>168</v>
      </c>
      <c r="AB97" s="621" t="s">
        <v>595</v>
      </c>
      <c r="AC97" s="633"/>
      <c r="AD97" s="624">
        <v>0.7</v>
      </c>
      <c r="AE97" s="624">
        <v>0.05</v>
      </c>
      <c r="AF97" s="623">
        <f t="shared" si="58"/>
        <v>24.200000000000003</v>
      </c>
      <c r="AG97" s="624">
        <v>0.2</v>
      </c>
      <c r="AH97" s="624">
        <v>100</v>
      </c>
      <c r="AI97" s="622">
        <v>77</v>
      </c>
      <c r="AJ97" s="622">
        <v>0.02</v>
      </c>
      <c r="AK97" s="622">
        <v>0.153</v>
      </c>
      <c r="AL97" s="622">
        <v>0.138</v>
      </c>
      <c r="AM97" s="622">
        <v>0.012</v>
      </c>
      <c r="AN97" s="155" t="s">
        <v>398</v>
      </c>
      <c r="AO97" s="153">
        <f t="shared" si="59"/>
        <v>0</v>
      </c>
      <c r="AP97" s="156">
        <f t="shared" si="60"/>
        <v>0</v>
      </c>
      <c r="AQ97" s="154">
        <f t="shared" si="61"/>
        <v>0</v>
      </c>
      <c r="AR97" s="154">
        <f t="shared" si="62"/>
        <v>0</v>
      </c>
      <c r="AS97" s="154">
        <f t="shared" si="63"/>
        <v>0</v>
      </c>
      <c r="AT97" s="154">
        <f t="shared" si="64"/>
        <v>0</v>
      </c>
      <c r="AU97" s="143">
        <f t="shared" si="65"/>
        <v>0</v>
      </c>
      <c r="AV97" s="143">
        <f t="shared" si="66"/>
        <v>0</v>
      </c>
      <c r="AW97" s="143">
        <f t="shared" si="67"/>
        <v>0</v>
      </c>
      <c r="AX97" s="143">
        <f t="shared" si="68"/>
        <v>0</v>
      </c>
      <c r="AY97" s="143">
        <f t="shared" si="69"/>
        <v>0</v>
      </c>
      <c r="AZ97" s="157">
        <f t="shared" si="70"/>
        <v>0</v>
      </c>
      <c r="BA97" s="246"/>
    </row>
    <row r="98" spans="1:53" ht="14.25" customHeight="1">
      <c r="A98" s="37"/>
      <c r="B98" s="688">
        <v>0.1</v>
      </c>
      <c r="C98" s="494" t="str">
        <f t="shared" si="56"/>
        <v>GRAPEFRUIT</v>
      </c>
      <c r="D98" s="285" t="str">
        <f t="shared" si="57"/>
        <v>-</v>
      </c>
      <c r="E98" s="607"/>
      <c r="F98" s="618">
        <v>8.8</v>
      </c>
      <c r="G98" s="1253"/>
      <c r="H98" s="12"/>
      <c r="I98" s="270"/>
      <c r="J98" s="1150" t="s">
        <v>281</v>
      </c>
      <c r="K98" s="1150"/>
      <c r="L98" s="1150"/>
      <c r="M98" s="1150"/>
      <c r="N98" s="1150"/>
      <c r="O98" s="270"/>
      <c r="P98" s="1340" t="s">
        <v>795</v>
      </c>
      <c r="Q98" s="1340"/>
      <c r="R98" s="615">
        <v>3.15</v>
      </c>
      <c r="S98" s="270" t="s">
        <v>43</v>
      </c>
      <c r="T98" s="1334" t="s">
        <v>244</v>
      </c>
      <c r="U98" s="1335"/>
      <c r="V98" s="33"/>
      <c r="W98" s="112">
        <v>16</v>
      </c>
      <c r="X98" s="211">
        <v>0.985</v>
      </c>
      <c r="Y98" s="110"/>
      <c r="Z98" s="177"/>
      <c r="AA98" s="635" t="s">
        <v>171</v>
      </c>
      <c r="AB98" s="621" t="s">
        <v>595</v>
      </c>
      <c r="AC98" s="633"/>
      <c r="AD98" s="624">
        <v>0.7</v>
      </c>
      <c r="AE98" s="624">
        <v>0.05</v>
      </c>
      <c r="AF98" s="623">
        <f t="shared" si="58"/>
        <v>9.680000000000001</v>
      </c>
      <c r="AG98" s="624">
        <v>0.2</v>
      </c>
      <c r="AH98" s="624">
        <v>100</v>
      </c>
      <c r="AI98" s="622">
        <v>129</v>
      </c>
      <c r="AJ98" s="622">
        <v>0.038</v>
      </c>
      <c r="AK98" s="622">
        <v>0.243</v>
      </c>
      <c r="AL98" s="622">
        <v>0.12</v>
      </c>
      <c r="AM98" s="622">
        <v>0.02</v>
      </c>
      <c r="AN98" s="155" t="s">
        <v>397</v>
      </c>
      <c r="AO98" s="153">
        <f t="shared" si="59"/>
        <v>0</v>
      </c>
      <c r="AP98" s="156">
        <f t="shared" si="60"/>
        <v>0</v>
      </c>
      <c r="AQ98" s="154">
        <f t="shared" si="61"/>
        <v>0</v>
      </c>
      <c r="AR98" s="154">
        <f t="shared" si="62"/>
        <v>0</v>
      </c>
      <c r="AS98" s="154">
        <f t="shared" si="63"/>
        <v>0</v>
      </c>
      <c r="AT98" s="154">
        <f t="shared" si="64"/>
        <v>0</v>
      </c>
      <c r="AU98" s="143">
        <f t="shared" si="65"/>
        <v>0</v>
      </c>
      <c r="AV98" s="143">
        <f t="shared" si="66"/>
        <v>0</v>
      </c>
      <c r="AW98" s="143">
        <f t="shared" si="67"/>
        <v>0</v>
      </c>
      <c r="AX98" s="143">
        <f t="shared" si="68"/>
        <v>0</v>
      </c>
      <c r="AY98" s="143">
        <f t="shared" si="69"/>
        <v>0</v>
      </c>
      <c r="AZ98" s="157">
        <f t="shared" si="70"/>
        <v>0</v>
      </c>
      <c r="BA98" s="246"/>
    </row>
    <row r="99" spans="1:53" ht="14.25" customHeight="1">
      <c r="A99" s="37"/>
      <c r="B99" s="688">
        <v>0.15</v>
      </c>
      <c r="C99" s="494" t="str">
        <f t="shared" si="56"/>
        <v>BLACK CHERRIES</v>
      </c>
      <c r="D99" s="285" t="str">
        <f t="shared" si="57"/>
        <v>-</v>
      </c>
      <c r="E99" s="607"/>
      <c r="F99" s="618">
        <v>10.4</v>
      </c>
      <c r="G99" s="1253"/>
      <c r="H99" s="12"/>
      <c r="I99" s="270"/>
      <c r="J99" s="1150" t="s">
        <v>282</v>
      </c>
      <c r="K99" s="1150"/>
      <c r="L99" s="1150"/>
      <c r="M99" s="1150"/>
      <c r="N99" s="1150"/>
      <c r="O99" s="270"/>
      <c r="P99" s="1334" t="s">
        <v>51</v>
      </c>
      <c r="Q99" s="1339"/>
      <c r="R99" s="1335"/>
      <c r="S99" s="270"/>
      <c r="T99" s="917" t="s">
        <v>75</v>
      </c>
      <c r="U99" s="918" t="s">
        <v>52</v>
      </c>
      <c r="V99" s="33"/>
      <c r="W99" s="112">
        <v>17</v>
      </c>
      <c r="X99" s="211">
        <v>0.956</v>
      </c>
      <c r="Y99" s="110"/>
      <c r="Z99" s="177"/>
      <c r="AA99" s="635" t="s">
        <v>206</v>
      </c>
      <c r="AB99" s="621" t="s">
        <v>595</v>
      </c>
      <c r="AC99" s="633"/>
      <c r="AD99" s="624">
        <v>0.2</v>
      </c>
      <c r="AE99" s="624">
        <v>0.05</v>
      </c>
      <c r="AF99" s="623">
        <f t="shared" si="58"/>
        <v>11.440000000000001</v>
      </c>
      <c r="AG99" s="624">
        <v>0.2</v>
      </c>
      <c r="AH99" s="624">
        <v>100</v>
      </c>
      <c r="AI99" s="622">
        <v>148</v>
      </c>
      <c r="AJ99" s="622">
        <v>0.021</v>
      </c>
      <c r="AK99" s="622">
        <v>0.403</v>
      </c>
      <c r="AL99" s="622">
        <v>0.127</v>
      </c>
      <c r="AM99" s="622">
        <v>0.03</v>
      </c>
      <c r="AN99" s="155" t="s">
        <v>397</v>
      </c>
      <c r="AO99" s="153">
        <f t="shared" si="59"/>
        <v>0</v>
      </c>
      <c r="AP99" s="156">
        <f t="shared" si="60"/>
        <v>0</v>
      </c>
      <c r="AQ99" s="154">
        <f t="shared" si="61"/>
        <v>0</v>
      </c>
      <c r="AR99" s="154">
        <f t="shared" si="62"/>
        <v>0</v>
      </c>
      <c r="AS99" s="154">
        <f t="shared" si="63"/>
        <v>0</v>
      </c>
      <c r="AT99" s="154">
        <f t="shared" si="64"/>
        <v>0</v>
      </c>
      <c r="AU99" s="143">
        <f t="shared" si="65"/>
        <v>0</v>
      </c>
      <c r="AV99" s="143">
        <f t="shared" si="66"/>
        <v>0</v>
      </c>
      <c r="AW99" s="143">
        <f t="shared" si="67"/>
        <v>0</v>
      </c>
      <c r="AX99" s="143">
        <f t="shared" si="68"/>
        <v>0</v>
      </c>
      <c r="AY99" s="143">
        <f t="shared" si="69"/>
        <v>0</v>
      </c>
      <c r="AZ99" s="157">
        <f t="shared" si="70"/>
        <v>0</v>
      </c>
      <c r="BA99" s="246"/>
    </row>
    <row r="100" spans="1:53" ht="14.25" customHeight="1">
      <c r="A100" s="37"/>
      <c r="B100" s="688">
        <v>0.1</v>
      </c>
      <c r="C100" s="494" t="str">
        <f t="shared" si="56"/>
        <v>LITCHI (LYCHEE)</v>
      </c>
      <c r="D100" s="285" t="str">
        <f t="shared" si="57"/>
        <v>-</v>
      </c>
      <c r="E100" s="607"/>
      <c r="F100" s="618">
        <v>19</v>
      </c>
      <c r="G100" s="1253"/>
      <c r="H100" s="12"/>
      <c r="I100" s="270"/>
      <c r="J100" s="1150" t="s">
        <v>283</v>
      </c>
      <c r="K100" s="1150"/>
      <c r="L100" s="1150"/>
      <c r="M100" s="1150"/>
      <c r="N100" s="1150"/>
      <c r="O100" s="270"/>
      <c r="P100" s="523" t="s">
        <v>52</v>
      </c>
      <c r="Q100" s="523" t="s">
        <v>65</v>
      </c>
      <c r="R100" s="524" t="s">
        <v>75</v>
      </c>
      <c r="S100" s="270"/>
      <c r="T100" s="917">
        <v>0.25</v>
      </c>
      <c r="U100" s="919">
        <f aca="true" t="shared" si="71" ref="U100:U125">T100*R$98</f>
        <v>0.7875</v>
      </c>
      <c r="V100" s="33"/>
      <c r="W100" s="112">
        <v>18</v>
      </c>
      <c r="X100" s="211">
        <v>0.928</v>
      </c>
      <c r="Y100" s="110"/>
      <c r="Z100" s="177"/>
      <c r="AA100" s="635" t="s">
        <v>176</v>
      </c>
      <c r="AB100" s="621" t="s">
        <v>595</v>
      </c>
      <c r="AC100" s="633"/>
      <c r="AD100" s="624">
        <v>0.15</v>
      </c>
      <c r="AE100" s="624">
        <v>0.05</v>
      </c>
      <c r="AF100" s="626">
        <f t="shared" si="58"/>
        <v>20.900000000000002</v>
      </c>
      <c r="AG100" s="624">
        <v>0.2</v>
      </c>
      <c r="AH100" s="624">
        <v>100</v>
      </c>
      <c r="AI100" s="624">
        <v>30</v>
      </c>
      <c r="AJ100" s="624">
        <v>0.01</v>
      </c>
      <c r="AK100" s="624">
        <v>0.15</v>
      </c>
      <c r="AL100" s="624">
        <v>0.1</v>
      </c>
      <c r="AM100" s="624">
        <v>0.01</v>
      </c>
      <c r="AN100" s="155"/>
      <c r="AO100" s="153">
        <f t="shared" si="59"/>
        <v>0</v>
      </c>
      <c r="AP100" s="156">
        <f t="shared" si="60"/>
        <v>0</v>
      </c>
      <c r="AQ100" s="154">
        <f t="shared" si="61"/>
        <v>0</v>
      </c>
      <c r="AR100" s="154">
        <f t="shared" si="62"/>
        <v>0</v>
      </c>
      <c r="AS100" s="154">
        <f t="shared" si="63"/>
        <v>0</v>
      </c>
      <c r="AT100" s="154">
        <f t="shared" si="64"/>
        <v>0</v>
      </c>
      <c r="AU100" s="143">
        <f t="shared" si="65"/>
        <v>0</v>
      </c>
      <c r="AV100" s="143">
        <f t="shared" si="66"/>
        <v>0</v>
      </c>
      <c r="AW100" s="143">
        <f t="shared" si="67"/>
        <v>0</v>
      </c>
      <c r="AX100" s="143">
        <f t="shared" si="68"/>
        <v>0</v>
      </c>
      <c r="AY100" s="143">
        <f t="shared" si="69"/>
        <v>0</v>
      </c>
      <c r="AZ100" s="157">
        <f t="shared" si="70"/>
        <v>0</v>
      </c>
      <c r="BA100" s="246"/>
    </row>
    <row r="101" spans="1:53" ht="14.25" customHeight="1">
      <c r="A101" s="37"/>
      <c r="B101" s="688">
        <v>0.2</v>
      </c>
      <c r="C101" s="494" t="str">
        <f t="shared" si="56"/>
        <v>MANGO</v>
      </c>
      <c r="D101" s="285" t="str">
        <f t="shared" si="57"/>
        <v>-</v>
      </c>
      <c r="E101" s="607"/>
      <c r="F101" s="618">
        <v>20</v>
      </c>
      <c r="G101" s="1253"/>
      <c r="H101" s="12"/>
      <c r="I101" s="509"/>
      <c r="J101" s="509"/>
      <c r="K101" s="501"/>
      <c r="L101" s="501"/>
      <c r="M101" s="501"/>
      <c r="N101" s="4"/>
      <c r="O101" s="270"/>
      <c r="P101" s="499">
        <f>Q101*R98</f>
        <v>4.725</v>
      </c>
      <c r="Q101" s="794">
        <v>1.5</v>
      </c>
      <c r="R101" s="500">
        <f>Q101/R98</f>
        <v>0.4761904761904762</v>
      </c>
      <c r="S101" s="270"/>
      <c r="T101" s="917">
        <f aca="true" t="shared" si="72" ref="T101:T124">T100+0.25</f>
        <v>0.5</v>
      </c>
      <c r="U101" s="919">
        <f t="shared" si="71"/>
        <v>1.575</v>
      </c>
      <c r="V101" s="33"/>
      <c r="W101" s="112">
        <v>19</v>
      </c>
      <c r="X101" s="211">
        <v>0.902</v>
      </c>
      <c r="Y101" s="110"/>
      <c r="Z101" s="177"/>
      <c r="AA101" s="635" t="s">
        <v>178</v>
      </c>
      <c r="AB101" s="621" t="s">
        <v>595</v>
      </c>
      <c r="AC101" s="633"/>
      <c r="AD101" s="624">
        <v>0.25</v>
      </c>
      <c r="AE101" s="624">
        <v>0.05</v>
      </c>
      <c r="AF101" s="626">
        <f t="shared" si="58"/>
        <v>22</v>
      </c>
      <c r="AG101" s="624">
        <v>0.2</v>
      </c>
      <c r="AH101" s="624">
        <v>100</v>
      </c>
      <c r="AI101" s="622">
        <v>48</v>
      </c>
      <c r="AJ101" s="622">
        <v>0.054</v>
      </c>
      <c r="AK101" s="622">
        <v>0.286</v>
      </c>
      <c r="AL101" s="622">
        <v>0.032</v>
      </c>
      <c r="AM101" s="622">
        <v>0.018</v>
      </c>
      <c r="AN101" s="155"/>
      <c r="AO101" s="153">
        <f t="shared" si="59"/>
        <v>0</v>
      </c>
      <c r="AP101" s="156">
        <f t="shared" si="60"/>
        <v>0</v>
      </c>
      <c r="AQ101" s="154">
        <f t="shared" si="61"/>
        <v>0</v>
      </c>
      <c r="AR101" s="154">
        <f t="shared" si="62"/>
        <v>0</v>
      </c>
      <c r="AS101" s="154">
        <f t="shared" si="63"/>
        <v>0</v>
      </c>
      <c r="AT101" s="154">
        <f t="shared" si="64"/>
        <v>0</v>
      </c>
      <c r="AU101" s="143">
        <f t="shared" si="65"/>
        <v>0</v>
      </c>
      <c r="AV101" s="143">
        <f t="shared" si="66"/>
        <v>0</v>
      </c>
      <c r="AW101" s="143">
        <f t="shared" si="67"/>
        <v>0</v>
      </c>
      <c r="AX101" s="143">
        <f t="shared" si="68"/>
        <v>0</v>
      </c>
      <c r="AY101" s="143">
        <f t="shared" si="69"/>
        <v>0</v>
      </c>
      <c r="AZ101" s="157">
        <f t="shared" si="70"/>
        <v>0</v>
      </c>
      <c r="BA101" s="246"/>
    </row>
    <row r="102" spans="1:52" ht="14.25" customHeight="1">
      <c r="A102" s="37"/>
      <c r="B102" s="688">
        <v>0.14</v>
      </c>
      <c r="C102" s="494" t="str">
        <f t="shared" si="56"/>
        <v>ORANGE</v>
      </c>
      <c r="D102" s="285" t="str">
        <f t="shared" si="57"/>
        <v>-</v>
      </c>
      <c r="E102" s="607"/>
      <c r="F102" s="618">
        <v>19</v>
      </c>
      <c r="G102" s="1253"/>
      <c r="H102" s="270"/>
      <c r="I102" s="270"/>
      <c r="J102" s="1287" t="s">
        <v>815</v>
      </c>
      <c r="K102" s="1287"/>
      <c r="L102" s="270"/>
      <c r="M102" s="270"/>
      <c r="N102" s="270"/>
      <c r="O102" s="270"/>
      <c r="P102" s="270"/>
      <c r="Q102" s="782"/>
      <c r="R102" s="782"/>
      <c r="S102" s="270"/>
      <c r="T102" s="917">
        <f t="shared" si="72"/>
        <v>0.75</v>
      </c>
      <c r="U102" s="919">
        <f t="shared" si="71"/>
        <v>2.3625</v>
      </c>
      <c r="V102" s="33"/>
      <c r="W102" s="112">
        <v>20</v>
      </c>
      <c r="X102" s="211">
        <v>0.878</v>
      </c>
      <c r="Y102" s="110"/>
      <c r="Z102" s="177"/>
      <c r="AA102" s="635" t="s">
        <v>183</v>
      </c>
      <c r="AB102" s="621" t="s">
        <v>595</v>
      </c>
      <c r="AC102" s="633"/>
      <c r="AD102" s="624">
        <v>0.5</v>
      </c>
      <c r="AE102" s="624">
        <v>0.05</v>
      </c>
      <c r="AF102" s="626">
        <f t="shared" si="58"/>
        <v>20.900000000000002</v>
      </c>
      <c r="AG102" s="624">
        <v>0.2</v>
      </c>
      <c r="AH102" s="624">
        <v>100</v>
      </c>
      <c r="AI102" s="624">
        <v>170</v>
      </c>
      <c r="AJ102" s="624">
        <v>0.053</v>
      </c>
      <c r="AK102" s="624">
        <v>0.446</v>
      </c>
      <c r="AL102" s="624">
        <v>0.125</v>
      </c>
      <c r="AM102" s="624">
        <v>0.042</v>
      </c>
      <c r="AN102" s="155" t="s">
        <v>397</v>
      </c>
      <c r="AO102" s="153">
        <f t="shared" si="59"/>
        <v>0</v>
      </c>
      <c r="AP102" s="156">
        <f t="shared" si="60"/>
        <v>0</v>
      </c>
      <c r="AQ102" s="154">
        <f t="shared" si="61"/>
        <v>0</v>
      </c>
      <c r="AR102" s="154">
        <f t="shared" si="62"/>
        <v>0</v>
      </c>
      <c r="AS102" s="154">
        <f t="shared" si="63"/>
        <v>0</v>
      </c>
      <c r="AT102" s="154">
        <f t="shared" si="64"/>
        <v>0</v>
      </c>
      <c r="AU102" s="143">
        <f t="shared" si="65"/>
        <v>0</v>
      </c>
      <c r="AV102" s="143">
        <f t="shared" si="66"/>
        <v>0</v>
      </c>
      <c r="AW102" s="143">
        <f t="shared" si="67"/>
        <v>0</v>
      </c>
      <c r="AX102" s="143">
        <f t="shared" si="68"/>
        <v>0</v>
      </c>
      <c r="AY102" s="143">
        <f t="shared" si="69"/>
        <v>0</v>
      </c>
      <c r="AZ102" s="157">
        <f t="shared" si="70"/>
        <v>0</v>
      </c>
    </row>
    <row r="103" spans="1:52" ht="14.25" customHeight="1">
      <c r="A103" s="37"/>
      <c r="B103" s="688">
        <v>0.25</v>
      </c>
      <c r="C103" s="494" t="str">
        <f t="shared" si="56"/>
        <v>PAPAYA (Pawpaw)</v>
      </c>
      <c r="D103" s="285" t="str">
        <f t="shared" si="57"/>
        <v>-</v>
      </c>
      <c r="E103" s="607"/>
      <c r="F103" s="618">
        <v>15</v>
      </c>
      <c r="G103" s="1253"/>
      <c r="H103" s="270"/>
      <c r="I103" s="270"/>
      <c r="J103" s="371" t="s">
        <v>284</v>
      </c>
      <c r="K103" s="792" t="s">
        <v>299</v>
      </c>
      <c r="L103" s="793" t="s">
        <v>308</v>
      </c>
      <c r="M103" s="270"/>
      <c r="N103" s="122"/>
      <c r="O103" s="738" t="s">
        <v>284</v>
      </c>
      <c r="P103" s="738" t="s">
        <v>299</v>
      </c>
      <c r="Q103" s="739" t="s">
        <v>308</v>
      </c>
      <c r="R103" s="740" t="s">
        <v>315</v>
      </c>
      <c r="S103" s="270"/>
      <c r="T103" s="917">
        <f t="shared" si="72"/>
        <v>1</v>
      </c>
      <c r="U103" s="919">
        <f t="shared" si="71"/>
        <v>3.15</v>
      </c>
      <c r="V103" s="33"/>
      <c r="W103" s="112">
        <v>21</v>
      </c>
      <c r="X103" s="211">
        <v>0.854</v>
      </c>
      <c r="Y103" s="110"/>
      <c r="Z103" s="177"/>
      <c r="AA103" s="635" t="s">
        <v>185</v>
      </c>
      <c r="AB103" s="621" t="s">
        <v>595</v>
      </c>
      <c r="AC103" s="633"/>
      <c r="AD103" s="624">
        <v>0.1</v>
      </c>
      <c r="AE103" s="624">
        <v>0.05</v>
      </c>
      <c r="AF103" s="626">
        <f t="shared" si="58"/>
        <v>16.5</v>
      </c>
      <c r="AG103" s="624">
        <v>0.2</v>
      </c>
      <c r="AH103" s="624">
        <v>100</v>
      </c>
      <c r="AI103" s="622">
        <v>31</v>
      </c>
      <c r="AJ103" s="622">
        <v>0.01</v>
      </c>
      <c r="AK103" s="622">
        <v>0.15</v>
      </c>
      <c r="AL103" s="622"/>
      <c r="AM103" s="622">
        <v>0.01</v>
      </c>
      <c r="AN103" s="155"/>
      <c r="AO103" s="153">
        <f t="shared" si="59"/>
        <v>0</v>
      </c>
      <c r="AP103" s="156">
        <f t="shared" si="60"/>
        <v>0</v>
      </c>
      <c r="AQ103" s="154">
        <f t="shared" si="61"/>
        <v>0</v>
      </c>
      <c r="AR103" s="154">
        <f t="shared" si="62"/>
        <v>0</v>
      </c>
      <c r="AS103" s="154">
        <f t="shared" si="63"/>
        <v>0</v>
      </c>
      <c r="AT103" s="154">
        <f t="shared" si="64"/>
        <v>0</v>
      </c>
      <c r="AU103" s="143">
        <f t="shared" si="65"/>
        <v>0</v>
      </c>
      <c r="AV103" s="143">
        <f t="shared" si="66"/>
        <v>0</v>
      </c>
      <c r="AW103" s="143">
        <f t="shared" si="67"/>
        <v>0</v>
      </c>
      <c r="AX103" s="143">
        <f t="shared" si="68"/>
        <v>0</v>
      </c>
      <c r="AY103" s="143">
        <f t="shared" si="69"/>
        <v>0</v>
      </c>
      <c r="AZ103" s="157">
        <f t="shared" si="70"/>
        <v>0</v>
      </c>
    </row>
    <row r="104" spans="1:52" ht="14.25" customHeight="1">
      <c r="A104" s="37"/>
      <c r="B104" s="688">
        <v>0.18</v>
      </c>
      <c r="C104" s="494" t="str">
        <f t="shared" si="56"/>
        <v>PEACHES</v>
      </c>
      <c r="D104" s="285" t="str">
        <f t="shared" si="57"/>
        <v>-</v>
      </c>
      <c r="E104" s="607"/>
      <c r="F104" s="618">
        <v>14</v>
      </c>
      <c r="G104" s="1253"/>
      <c r="H104" s="270"/>
      <c r="I104" s="270"/>
      <c r="J104" s="372" t="s">
        <v>43</v>
      </c>
      <c r="K104" s="372" t="s">
        <v>76</v>
      </c>
      <c r="L104" s="373" t="s">
        <v>76</v>
      </c>
      <c r="M104" s="270"/>
      <c r="N104" s="122"/>
      <c r="O104" s="372" t="s">
        <v>43</v>
      </c>
      <c r="P104" s="372" t="s">
        <v>76</v>
      </c>
      <c r="Q104" s="373" t="s">
        <v>76</v>
      </c>
      <c r="R104" s="374"/>
      <c r="S104" s="270"/>
      <c r="T104" s="917">
        <f t="shared" si="72"/>
        <v>1.25</v>
      </c>
      <c r="U104" s="919">
        <f t="shared" si="71"/>
        <v>3.9375</v>
      </c>
      <c r="V104" s="33"/>
      <c r="W104" s="112">
        <v>22</v>
      </c>
      <c r="X104" s="211">
        <v>0.829</v>
      </c>
      <c r="Y104" s="110"/>
      <c r="Z104" s="177"/>
      <c r="AA104" s="635" t="s">
        <v>207</v>
      </c>
      <c r="AB104" s="621" t="s">
        <v>595</v>
      </c>
      <c r="AC104" s="633"/>
      <c r="AD104" s="622">
        <v>0.3</v>
      </c>
      <c r="AE104" s="624">
        <v>0.05</v>
      </c>
      <c r="AF104" s="626">
        <f t="shared" si="58"/>
        <v>15.400000000000002</v>
      </c>
      <c r="AG104" s="624">
        <v>0.2</v>
      </c>
      <c r="AH104" s="624">
        <v>100</v>
      </c>
      <c r="AI104" s="622">
        <v>140</v>
      </c>
      <c r="AJ104" s="622">
        <v>0.009</v>
      </c>
      <c r="AK104" s="622">
        <v>0.593</v>
      </c>
      <c r="AL104" s="622">
        <v>0.05</v>
      </c>
      <c r="AM104" s="622">
        <v>0.019</v>
      </c>
      <c r="AN104" s="155" t="s">
        <v>396</v>
      </c>
      <c r="AO104" s="153">
        <f t="shared" si="59"/>
        <v>0</v>
      </c>
      <c r="AP104" s="156">
        <f t="shared" si="60"/>
        <v>0</v>
      </c>
      <c r="AQ104" s="154">
        <f t="shared" si="61"/>
        <v>0</v>
      </c>
      <c r="AR104" s="154">
        <f t="shared" si="62"/>
        <v>0</v>
      </c>
      <c r="AS104" s="154">
        <f t="shared" si="63"/>
        <v>0</v>
      </c>
      <c r="AT104" s="154">
        <f t="shared" si="64"/>
        <v>0</v>
      </c>
      <c r="AU104" s="143">
        <f t="shared" si="65"/>
        <v>0</v>
      </c>
      <c r="AV104" s="143">
        <f t="shared" si="66"/>
        <v>0</v>
      </c>
      <c r="AW104" s="143">
        <f t="shared" si="67"/>
        <v>0</v>
      </c>
      <c r="AX104" s="143">
        <f t="shared" si="68"/>
        <v>0</v>
      </c>
      <c r="AY104" s="143">
        <f t="shared" si="69"/>
        <v>0</v>
      </c>
      <c r="AZ104" s="157">
        <f t="shared" si="70"/>
        <v>0</v>
      </c>
    </row>
    <row r="105" spans="1:53" ht="14.25" customHeight="1">
      <c r="A105" s="37"/>
      <c r="B105" s="688">
        <v>0.19</v>
      </c>
      <c r="C105" s="494" t="str">
        <f t="shared" si="56"/>
        <v>PEARS</v>
      </c>
      <c r="D105" s="285" t="str">
        <f t="shared" si="57"/>
        <v>-</v>
      </c>
      <c r="E105" s="607"/>
      <c r="F105" s="618">
        <v>12.1</v>
      </c>
      <c r="G105" s="1253"/>
      <c r="H105" s="270"/>
      <c r="I105" s="270"/>
      <c r="J105" s="616">
        <v>590</v>
      </c>
      <c r="K105" s="375">
        <f>0.671*J105</f>
        <v>395.89000000000004</v>
      </c>
      <c r="L105" s="375">
        <f>K105+(0.58*J105)</f>
        <v>738.09</v>
      </c>
      <c r="N105" s="122"/>
      <c r="O105" s="616">
        <v>625</v>
      </c>
      <c r="P105" s="616">
        <v>625</v>
      </c>
      <c r="Q105" s="375">
        <f>P105+(0.58*O105)</f>
        <v>987.5</v>
      </c>
      <c r="R105" s="376">
        <f>1000+375*O105/Q105</f>
        <v>1237.3417721518988</v>
      </c>
      <c r="S105" s="270"/>
      <c r="T105" s="917">
        <f t="shared" si="72"/>
        <v>1.5</v>
      </c>
      <c r="U105" s="919">
        <f t="shared" si="71"/>
        <v>4.725</v>
      </c>
      <c r="V105" s="33"/>
      <c r="W105" s="112">
        <v>23</v>
      </c>
      <c r="X105" s="211">
        <v>0.804</v>
      </c>
      <c r="Y105" s="110"/>
      <c r="Z105" s="177"/>
      <c r="AA105" s="635" t="s">
        <v>208</v>
      </c>
      <c r="AB105" s="621" t="s">
        <v>595</v>
      </c>
      <c r="AC105" s="633"/>
      <c r="AD105" s="622">
        <v>0.2</v>
      </c>
      <c r="AE105" s="624">
        <v>0.05</v>
      </c>
      <c r="AF105" s="623">
        <f>F105*1.3</f>
        <v>15.73</v>
      </c>
      <c r="AG105" s="624">
        <v>0.2</v>
      </c>
      <c r="AH105" s="624">
        <v>100</v>
      </c>
      <c r="AI105" s="622">
        <v>66</v>
      </c>
      <c r="AJ105" s="622">
        <v>0.01</v>
      </c>
      <c r="AK105" s="622">
        <v>0.154</v>
      </c>
      <c r="AL105" s="622">
        <v>0.022</v>
      </c>
      <c r="AM105" s="622">
        <v>0.014</v>
      </c>
      <c r="AN105" s="155" t="s">
        <v>396</v>
      </c>
      <c r="AO105" s="153">
        <f t="shared" si="59"/>
        <v>0</v>
      </c>
      <c r="AP105" s="156">
        <f t="shared" si="60"/>
        <v>0</v>
      </c>
      <c r="AQ105" s="154">
        <f t="shared" si="61"/>
        <v>0</v>
      </c>
      <c r="AR105" s="154">
        <f t="shared" si="62"/>
        <v>0</v>
      </c>
      <c r="AS105" s="154">
        <f t="shared" si="63"/>
        <v>0</v>
      </c>
      <c r="AT105" s="154">
        <f t="shared" si="64"/>
        <v>0</v>
      </c>
      <c r="AU105" s="143">
        <f t="shared" si="65"/>
        <v>0</v>
      </c>
      <c r="AV105" s="143">
        <f t="shared" si="66"/>
        <v>0</v>
      </c>
      <c r="AW105" s="143">
        <f t="shared" si="67"/>
        <v>0</v>
      </c>
      <c r="AX105" s="143">
        <f t="shared" si="68"/>
        <v>0</v>
      </c>
      <c r="AY105" s="143">
        <f t="shared" si="69"/>
        <v>0</v>
      </c>
      <c r="AZ105" s="157">
        <f t="shared" si="70"/>
        <v>0</v>
      </c>
      <c r="BA105" s="246"/>
    </row>
    <row r="106" spans="1:53" ht="14.25" customHeight="1">
      <c r="A106" s="37"/>
      <c r="B106" s="688">
        <v>0.14</v>
      </c>
      <c r="C106" s="494" t="str">
        <f t="shared" si="56"/>
        <v>PINEAPPLE</v>
      </c>
      <c r="D106" s="285" t="str">
        <f t="shared" si="57"/>
        <v>-</v>
      </c>
      <c r="E106" s="607"/>
      <c r="F106" s="618">
        <v>12</v>
      </c>
      <c r="G106" s="1253"/>
      <c r="H106" s="270"/>
      <c r="I106" s="270"/>
      <c r="J106" s="270"/>
      <c r="K106" s="270"/>
      <c r="L106" s="782"/>
      <c r="M106" s="782"/>
      <c r="N106" s="782"/>
      <c r="O106" s="782"/>
      <c r="P106" s="270"/>
      <c r="Q106" s="782"/>
      <c r="R106" s="782"/>
      <c r="S106" s="501"/>
      <c r="T106" s="917">
        <f t="shared" si="72"/>
        <v>1.75</v>
      </c>
      <c r="U106" s="919">
        <f t="shared" si="71"/>
        <v>5.5125</v>
      </c>
      <c r="V106" s="33"/>
      <c r="W106" s="112">
        <v>24</v>
      </c>
      <c r="X106" s="211">
        <v>0.781</v>
      </c>
      <c r="Y106" s="110"/>
      <c r="Z106" s="177"/>
      <c r="AA106" s="635" t="s">
        <v>189</v>
      </c>
      <c r="AB106" s="621" t="s">
        <v>595</v>
      </c>
      <c r="AC106" s="633"/>
      <c r="AD106" s="622">
        <v>0.17</v>
      </c>
      <c r="AE106" s="624">
        <v>0.05</v>
      </c>
      <c r="AF106" s="623">
        <f>F106*1.1</f>
        <v>13.200000000000001</v>
      </c>
      <c r="AG106" s="624">
        <v>0.2</v>
      </c>
      <c r="AH106" s="624">
        <v>100</v>
      </c>
      <c r="AI106" s="622">
        <v>105</v>
      </c>
      <c r="AJ106" s="622">
        <v>0.091</v>
      </c>
      <c r="AK106" s="622">
        <v>0.292</v>
      </c>
      <c r="AL106" s="622">
        <v>0.1</v>
      </c>
      <c r="AM106" s="622">
        <v>0.074</v>
      </c>
      <c r="AN106" s="155" t="s">
        <v>397</v>
      </c>
      <c r="AO106" s="153">
        <f t="shared" si="59"/>
        <v>0</v>
      </c>
      <c r="AP106" s="156">
        <f t="shared" si="60"/>
        <v>0</v>
      </c>
      <c r="AQ106" s="154">
        <f t="shared" si="61"/>
        <v>0</v>
      </c>
      <c r="AR106" s="154">
        <f t="shared" si="62"/>
        <v>0</v>
      </c>
      <c r="AS106" s="154">
        <f t="shared" si="63"/>
        <v>0</v>
      </c>
      <c r="AT106" s="154">
        <f t="shared" si="64"/>
        <v>0</v>
      </c>
      <c r="AU106" s="143">
        <f t="shared" si="65"/>
        <v>0</v>
      </c>
      <c r="AV106" s="143">
        <f t="shared" si="66"/>
        <v>0</v>
      </c>
      <c r="AW106" s="143">
        <f t="shared" si="67"/>
        <v>0</v>
      </c>
      <c r="AX106" s="143">
        <f t="shared" si="68"/>
        <v>0</v>
      </c>
      <c r="AY106" s="143">
        <f t="shared" si="69"/>
        <v>0</v>
      </c>
      <c r="AZ106" s="157">
        <f t="shared" si="70"/>
        <v>0</v>
      </c>
      <c r="BA106" s="246"/>
    </row>
    <row r="107" spans="1:53" ht="14.25" customHeight="1">
      <c r="A107" s="37"/>
      <c r="B107" s="688">
        <v>0.17</v>
      </c>
      <c r="C107" s="494" t="str">
        <f t="shared" si="56"/>
        <v>PLUM</v>
      </c>
      <c r="D107" s="285" t="str">
        <f t="shared" si="57"/>
        <v>-</v>
      </c>
      <c r="E107" s="607"/>
      <c r="F107" s="618">
        <v>15</v>
      </c>
      <c r="G107" s="1253"/>
      <c r="H107" s="270"/>
      <c r="I107" s="270"/>
      <c r="J107" s="270"/>
      <c r="K107" s="270"/>
      <c r="L107" s="782"/>
      <c r="M107" s="782"/>
      <c r="N107" s="782"/>
      <c r="O107" s="782"/>
      <c r="P107" s="270"/>
      <c r="Q107" s="782"/>
      <c r="R107" s="782"/>
      <c r="S107" s="4"/>
      <c r="T107" s="917">
        <f t="shared" si="72"/>
        <v>2</v>
      </c>
      <c r="U107" s="919">
        <f t="shared" si="71"/>
        <v>6.3</v>
      </c>
      <c r="V107" s="33"/>
      <c r="W107" s="112">
        <v>25</v>
      </c>
      <c r="X107" s="211">
        <v>0.759</v>
      </c>
      <c r="Y107" s="110"/>
      <c r="Z107" s="177"/>
      <c r="AA107" s="635" t="s">
        <v>190</v>
      </c>
      <c r="AB107" s="621" t="s">
        <v>595</v>
      </c>
      <c r="AC107" s="633"/>
      <c r="AD107" s="624">
        <v>0.7</v>
      </c>
      <c r="AE107" s="624">
        <v>0.05</v>
      </c>
      <c r="AF107" s="623">
        <f>F107*1.1</f>
        <v>16.5</v>
      </c>
      <c r="AG107" s="624">
        <v>0.2</v>
      </c>
      <c r="AH107" s="624">
        <v>100</v>
      </c>
      <c r="AI107" s="622">
        <v>90</v>
      </c>
      <c r="AJ107" s="622">
        <v>0.016</v>
      </c>
      <c r="AK107" s="622">
        <v>0.297</v>
      </c>
      <c r="AL107" s="622">
        <v>0.072</v>
      </c>
      <c r="AM107" s="622">
        <v>0.027</v>
      </c>
      <c r="AN107" s="155" t="s">
        <v>396</v>
      </c>
      <c r="AO107" s="153">
        <f t="shared" si="59"/>
        <v>0</v>
      </c>
      <c r="AP107" s="156">
        <f t="shared" si="60"/>
        <v>0</v>
      </c>
      <c r="AQ107" s="154">
        <f t="shared" si="61"/>
        <v>0</v>
      </c>
      <c r="AR107" s="154">
        <f t="shared" si="62"/>
        <v>0</v>
      </c>
      <c r="AS107" s="154">
        <f t="shared" si="63"/>
        <v>0</v>
      </c>
      <c r="AT107" s="154">
        <f t="shared" si="64"/>
        <v>0</v>
      </c>
      <c r="AU107" s="143">
        <f t="shared" si="65"/>
        <v>0</v>
      </c>
      <c r="AV107" s="143">
        <f t="shared" si="66"/>
        <v>0</v>
      </c>
      <c r="AW107" s="143">
        <f t="shared" si="67"/>
        <v>0</v>
      </c>
      <c r="AX107" s="143">
        <f t="shared" si="68"/>
        <v>0</v>
      </c>
      <c r="AY107" s="143">
        <f t="shared" si="69"/>
        <v>0</v>
      </c>
      <c r="AZ107" s="157">
        <f t="shared" si="70"/>
        <v>0</v>
      </c>
      <c r="BA107" s="246"/>
    </row>
    <row r="108" spans="1:53" ht="14.25" customHeight="1">
      <c r="A108" s="37"/>
      <c r="B108" s="688">
        <v>0.3</v>
      </c>
      <c r="C108" s="494" t="str">
        <f t="shared" si="56"/>
        <v>PRUNES</v>
      </c>
      <c r="D108" s="285" t="str">
        <f t="shared" si="57"/>
        <v>-</v>
      </c>
      <c r="E108" s="607"/>
      <c r="F108" s="618">
        <v>21</v>
      </c>
      <c r="G108" s="1253"/>
      <c r="H108" s="1286" t="s">
        <v>802</v>
      </c>
      <c r="I108" s="1286"/>
      <c r="J108" s="1286"/>
      <c r="K108" s="1286"/>
      <c r="L108" s="270"/>
      <c r="M108" s="270"/>
      <c r="N108" s="1151" t="s">
        <v>274</v>
      </c>
      <c r="O108" s="1151"/>
      <c r="P108" s="1151"/>
      <c r="Q108" s="746"/>
      <c r="R108" s="746"/>
      <c r="S108" s="509"/>
      <c r="T108" s="917">
        <f t="shared" si="72"/>
        <v>2.25</v>
      </c>
      <c r="U108" s="919">
        <f t="shared" si="71"/>
        <v>7.0874999999999995</v>
      </c>
      <c r="V108" s="33"/>
      <c r="W108" s="112">
        <v>26</v>
      </c>
      <c r="X108" s="211">
        <v>0.738</v>
      </c>
      <c r="Y108" s="110"/>
      <c r="Z108" s="177"/>
      <c r="AA108" s="635" t="s">
        <v>191</v>
      </c>
      <c r="AB108" s="621" t="s">
        <v>595</v>
      </c>
      <c r="AC108" s="633"/>
      <c r="AD108" s="624">
        <v>0.6</v>
      </c>
      <c r="AE108" s="624">
        <v>0.05</v>
      </c>
      <c r="AF108" s="626">
        <f>F108*1.1</f>
        <v>23.1</v>
      </c>
      <c r="AG108" s="624">
        <v>0.2</v>
      </c>
      <c r="AH108" s="624">
        <v>100</v>
      </c>
      <c r="AI108" s="622">
        <v>270</v>
      </c>
      <c r="AJ108" s="622">
        <v>0.034</v>
      </c>
      <c r="AK108" s="622">
        <v>0.866</v>
      </c>
      <c r="AL108" s="622">
        <v>0.1</v>
      </c>
      <c r="AM108" s="622">
        <v>0.203</v>
      </c>
      <c r="AN108" s="155" t="s">
        <v>396</v>
      </c>
      <c r="AO108" s="153">
        <f t="shared" si="59"/>
        <v>0</v>
      </c>
      <c r="AP108" s="156">
        <f t="shared" si="60"/>
        <v>0</v>
      </c>
      <c r="AQ108" s="154">
        <f t="shared" si="61"/>
        <v>0</v>
      </c>
      <c r="AR108" s="154">
        <f t="shared" si="62"/>
        <v>0</v>
      </c>
      <c r="AS108" s="154">
        <f t="shared" si="63"/>
        <v>0</v>
      </c>
      <c r="AT108" s="154">
        <f t="shared" si="64"/>
        <v>0</v>
      </c>
      <c r="AU108" s="143">
        <f t="shared" si="65"/>
        <v>0</v>
      </c>
      <c r="AV108" s="143">
        <f t="shared" si="66"/>
        <v>0</v>
      </c>
      <c r="AW108" s="143">
        <f t="shared" si="67"/>
        <v>0</v>
      </c>
      <c r="AX108" s="143">
        <f t="shared" si="68"/>
        <v>0</v>
      </c>
      <c r="AY108" s="143">
        <f t="shared" si="69"/>
        <v>0</v>
      </c>
      <c r="AZ108" s="157">
        <f t="shared" si="70"/>
        <v>0</v>
      </c>
      <c r="BA108" s="246"/>
    </row>
    <row r="109" spans="1:52" ht="14.25" customHeight="1">
      <c r="A109" s="37"/>
      <c r="B109" s="688">
        <v>0.15</v>
      </c>
      <c r="C109" s="494" t="str">
        <f t="shared" si="56"/>
        <v>RASPBERRY</v>
      </c>
      <c r="D109" s="285" t="str">
        <f t="shared" si="57"/>
        <v>-</v>
      </c>
      <c r="E109" s="607"/>
      <c r="F109" s="618">
        <v>14</v>
      </c>
      <c r="G109" s="1253"/>
      <c r="H109" s="1255" t="s">
        <v>814</v>
      </c>
      <c r="I109" s="1256"/>
      <c r="J109" s="1261" t="s">
        <v>809</v>
      </c>
      <c r="K109" s="1169" t="s">
        <v>811</v>
      </c>
      <c r="L109" s="270"/>
      <c r="M109" s="270"/>
      <c r="N109" s="1175" t="s">
        <v>803</v>
      </c>
      <c r="O109" s="1175"/>
      <c r="P109" s="1175"/>
      <c r="Q109" s="1175"/>
      <c r="R109" s="1175"/>
      <c r="S109" s="915"/>
      <c r="T109" s="917">
        <f t="shared" si="72"/>
        <v>2.5</v>
      </c>
      <c r="U109" s="919">
        <f t="shared" si="71"/>
        <v>7.875</v>
      </c>
      <c r="V109" s="33"/>
      <c r="W109" s="112">
        <v>27</v>
      </c>
      <c r="X109" s="211">
        <v>0.718</v>
      </c>
      <c r="Y109" s="110"/>
      <c r="Z109" s="177"/>
      <c r="AA109" s="635" t="s">
        <v>194</v>
      </c>
      <c r="AB109" s="621" t="s">
        <v>595</v>
      </c>
      <c r="AC109" s="633"/>
      <c r="AD109" s="630">
        <v>0.6</v>
      </c>
      <c r="AE109" s="630">
        <v>0.05</v>
      </c>
      <c r="AF109" s="629">
        <f>F109*1.1</f>
        <v>15.400000000000002</v>
      </c>
      <c r="AG109" s="630">
        <v>0.2</v>
      </c>
      <c r="AH109" s="630">
        <v>100</v>
      </c>
      <c r="AI109" s="628">
        <v>94</v>
      </c>
      <c r="AJ109" s="628">
        <v>0.02</v>
      </c>
      <c r="AK109" s="628">
        <v>0.44</v>
      </c>
      <c r="AL109" s="628">
        <v>0</v>
      </c>
      <c r="AM109" s="628">
        <v>0.04</v>
      </c>
      <c r="AN109" s="163" t="s">
        <v>397</v>
      </c>
      <c r="AO109" s="138">
        <f t="shared" si="59"/>
        <v>0</v>
      </c>
      <c r="AP109" s="164">
        <f t="shared" si="60"/>
        <v>0</v>
      </c>
      <c r="AQ109" s="162">
        <f t="shared" si="61"/>
        <v>0</v>
      </c>
      <c r="AR109" s="162">
        <f t="shared" si="62"/>
        <v>0</v>
      </c>
      <c r="AS109" s="162">
        <f t="shared" si="63"/>
        <v>0</v>
      </c>
      <c r="AT109" s="162">
        <f t="shared" si="64"/>
        <v>0</v>
      </c>
      <c r="AU109" s="161">
        <f t="shared" si="65"/>
        <v>0</v>
      </c>
      <c r="AV109" s="161">
        <f t="shared" si="66"/>
        <v>0</v>
      </c>
      <c r="AW109" s="161">
        <f t="shared" si="67"/>
        <v>0</v>
      </c>
      <c r="AX109" s="161">
        <f t="shared" si="68"/>
        <v>0</v>
      </c>
      <c r="AY109" s="161">
        <f t="shared" si="69"/>
        <v>0</v>
      </c>
      <c r="AZ109" s="165">
        <f t="shared" si="70"/>
        <v>0</v>
      </c>
    </row>
    <row r="110" spans="1:52" ht="14.25" customHeight="1">
      <c r="A110" s="37"/>
      <c r="B110" s="688">
        <v>0.15</v>
      </c>
      <c r="C110" s="494" t="str">
        <f t="shared" si="56"/>
        <v>RHUBARB</v>
      </c>
      <c r="D110" s="285" t="str">
        <f t="shared" si="57"/>
        <v>-</v>
      </c>
      <c r="E110" s="607"/>
      <c r="F110" s="618">
        <v>7</v>
      </c>
      <c r="G110" s="1253"/>
      <c r="H110" s="1257"/>
      <c r="I110" s="1258"/>
      <c r="J110" s="1262"/>
      <c r="K110" s="1170"/>
      <c r="L110" s="270"/>
      <c r="M110" s="270"/>
      <c r="N110" s="1176"/>
      <c r="O110" s="1176"/>
      <c r="P110" s="1176"/>
      <c r="Q110" s="1177"/>
      <c r="R110" s="1177"/>
      <c r="S110" s="915"/>
      <c r="T110" s="917">
        <f t="shared" si="72"/>
        <v>2.75</v>
      </c>
      <c r="U110" s="919">
        <f t="shared" si="71"/>
        <v>8.6625</v>
      </c>
      <c r="V110" s="33"/>
      <c r="W110" s="112">
        <v>28</v>
      </c>
      <c r="X110" s="211">
        <v>0.699</v>
      </c>
      <c r="Y110" s="110"/>
      <c r="Z110" s="177"/>
      <c r="AA110" s="635" t="s">
        <v>209</v>
      </c>
      <c r="AB110" s="621" t="s">
        <v>595</v>
      </c>
      <c r="AC110" s="633"/>
      <c r="AD110" s="630">
        <v>0.7</v>
      </c>
      <c r="AE110" s="630">
        <v>0.05</v>
      </c>
      <c r="AF110" s="631">
        <f>F110*1.3</f>
        <v>9.1</v>
      </c>
      <c r="AG110" s="630">
        <v>0.2</v>
      </c>
      <c r="AH110" s="630">
        <v>100</v>
      </c>
      <c r="AI110" s="630">
        <v>30</v>
      </c>
      <c r="AJ110" s="630">
        <v>0.01</v>
      </c>
      <c r="AK110" s="630">
        <v>0.15</v>
      </c>
      <c r="AL110" s="630">
        <v>0.1</v>
      </c>
      <c r="AM110" s="630">
        <v>0.01</v>
      </c>
      <c r="AN110" s="163" t="s">
        <v>396</v>
      </c>
      <c r="AO110" s="138">
        <f t="shared" si="59"/>
        <v>0</v>
      </c>
      <c r="AP110" s="164">
        <f t="shared" si="60"/>
        <v>0</v>
      </c>
      <c r="AQ110" s="162">
        <f t="shared" si="61"/>
        <v>0</v>
      </c>
      <c r="AR110" s="162">
        <f t="shared" si="62"/>
        <v>0</v>
      </c>
      <c r="AS110" s="162">
        <f t="shared" si="63"/>
        <v>0</v>
      </c>
      <c r="AT110" s="162">
        <f t="shared" si="64"/>
        <v>0</v>
      </c>
      <c r="AU110" s="161">
        <f t="shared" si="65"/>
        <v>0</v>
      </c>
      <c r="AV110" s="161">
        <f t="shared" si="66"/>
        <v>0</v>
      </c>
      <c r="AW110" s="161">
        <f t="shared" si="67"/>
        <v>0</v>
      </c>
      <c r="AX110" s="161">
        <f t="shared" si="68"/>
        <v>0</v>
      </c>
      <c r="AY110" s="161">
        <f t="shared" si="69"/>
        <v>0</v>
      </c>
      <c r="AZ110" s="165">
        <f t="shared" si="70"/>
        <v>0</v>
      </c>
    </row>
    <row r="111" spans="1:52" ht="14.25" customHeight="1">
      <c r="A111" s="37"/>
      <c r="B111" s="688">
        <v>0.2</v>
      </c>
      <c r="C111" s="494" t="str">
        <f t="shared" si="56"/>
        <v>STRAWBERRIES</v>
      </c>
      <c r="D111" s="285" t="str">
        <f t="shared" si="57"/>
        <v>-</v>
      </c>
      <c r="E111" s="607"/>
      <c r="F111" s="618">
        <v>14</v>
      </c>
      <c r="G111" s="1253"/>
      <c r="H111" s="1259" t="s">
        <v>806</v>
      </c>
      <c r="I111" s="1260"/>
      <c r="J111" s="906">
        <v>67</v>
      </c>
      <c r="K111" s="906">
        <v>6</v>
      </c>
      <c r="L111" s="270"/>
      <c r="M111" s="270"/>
      <c r="N111" s="1173" t="s">
        <v>285</v>
      </c>
      <c r="O111" s="1174"/>
      <c r="P111" s="770">
        <v>40</v>
      </c>
      <c r="Q111" s="1154" t="s">
        <v>717</v>
      </c>
      <c r="R111" s="1155"/>
      <c r="S111" s="270"/>
      <c r="T111" s="917">
        <f t="shared" si="72"/>
        <v>3</v>
      </c>
      <c r="U111" s="919">
        <f t="shared" si="71"/>
        <v>9.45</v>
      </c>
      <c r="V111" s="33"/>
      <c r="W111" s="112">
        <v>29</v>
      </c>
      <c r="X111" s="211">
        <v>0.682</v>
      </c>
      <c r="Y111" s="110"/>
      <c r="Z111" s="177"/>
      <c r="AA111" s="635" t="s">
        <v>210</v>
      </c>
      <c r="AB111" s="621" t="s">
        <v>595</v>
      </c>
      <c r="AC111" s="633"/>
      <c r="AD111" s="630">
        <v>0.6</v>
      </c>
      <c r="AE111" s="630">
        <v>0.05</v>
      </c>
      <c r="AF111" s="629">
        <f>F111*1.1</f>
        <v>15.400000000000002</v>
      </c>
      <c r="AG111" s="630">
        <v>0.2</v>
      </c>
      <c r="AH111" s="630">
        <v>100</v>
      </c>
      <c r="AI111" s="628">
        <v>86</v>
      </c>
      <c r="AJ111" s="628">
        <v>0.02</v>
      </c>
      <c r="AK111" s="628">
        <v>0.06</v>
      </c>
      <c r="AL111" s="628">
        <v>0.179</v>
      </c>
      <c r="AM111" s="628">
        <v>0.05</v>
      </c>
      <c r="AN111" s="163" t="s">
        <v>397</v>
      </c>
      <c r="AO111" s="138">
        <f t="shared" si="59"/>
        <v>0</v>
      </c>
      <c r="AP111" s="164">
        <f t="shared" si="60"/>
        <v>0</v>
      </c>
      <c r="AQ111" s="162">
        <f t="shared" si="61"/>
        <v>0</v>
      </c>
      <c r="AR111" s="162">
        <f t="shared" si="62"/>
        <v>0</v>
      </c>
      <c r="AS111" s="162">
        <f t="shared" si="63"/>
        <v>0</v>
      </c>
      <c r="AT111" s="162">
        <f t="shared" si="64"/>
        <v>0</v>
      </c>
      <c r="AU111" s="161">
        <f t="shared" si="65"/>
        <v>0</v>
      </c>
      <c r="AV111" s="161">
        <f t="shared" si="66"/>
        <v>0</v>
      </c>
      <c r="AW111" s="161">
        <f t="shared" si="67"/>
        <v>0</v>
      </c>
      <c r="AX111" s="161">
        <f t="shared" si="68"/>
        <v>0</v>
      </c>
      <c r="AY111" s="161">
        <f t="shared" si="69"/>
        <v>0</v>
      </c>
      <c r="AZ111" s="165">
        <f t="shared" si="70"/>
        <v>0</v>
      </c>
    </row>
    <row r="112" spans="1:52" ht="14.25" customHeight="1">
      <c r="A112" s="37"/>
      <c r="B112" s="688">
        <v>0.15</v>
      </c>
      <c r="C112" s="494" t="str">
        <f t="shared" si="56"/>
        <v>TANGERINE</v>
      </c>
      <c r="D112" s="285" t="str">
        <f t="shared" si="57"/>
        <v>-</v>
      </c>
      <c r="E112" s="607"/>
      <c r="F112" s="618">
        <v>8</v>
      </c>
      <c r="G112" s="1253"/>
      <c r="H112" s="1259" t="s">
        <v>807</v>
      </c>
      <c r="I112" s="1260"/>
      <c r="J112" s="906">
        <v>44</v>
      </c>
      <c r="K112" s="906">
        <v>4</v>
      </c>
      <c r="L112" s="270"/>
      <c r="M112" s="270"/>
      <c r="N112" s="1272" t="s">
        <v>286</v>
      </c>
      <c r="O112" s="1273"/>
      <c r="P112" s="771">
        <v>11.4</v>
      </c>
      <c r="Q112" s="1156"/>
      <c r="R112" s="1157"/>
      <c r="S112" s="270"/>
      <c r="T112" s="917">
        <f t="shared" si="72"/>
        <v>3.25</v>
      </c>
      <c r="U112" s="919">
        <f t="shared" si="71"/>
        <v>10.237499999999999</v>
      </c>
      <c r="V112" s="33"/>
      <c r="W112" s="112">
        <v>30</v>
      </c>
      <c r="X112" s="211">
        <v>0.665</v>
      </c>
      <c r="Y112" s="110"/>
      <c r="Z112" s="177"/>
      <c r="AA112" s="635" t="s">
        <v>199</v>
      </c>
      <c r="AB112" s="621" t="s">
        <v>595</v>
      </c>
      <c r="AC112" s="633"/>
      <c r="AD112" s="630">
        <v>0.5</v>
      </c>
      <c r="AE112" s="630">
        <v>0.05</v>
      </c>
      <c r="AF112" s="631">
        <f>F112*1.1</f>
        <v>8.8</v>
      </c>
      <c r="AG112" s="630">
        <v>0.2</v>
      </c>
      <c r="AH112" s="630">
        <v>100</v>
      </c>
      <c r="AI112" s="628">
        <v>170</v>
      </c>
      <c r="AJ112" s="628">
        <v>0.053</v>
      </c>
      <c r="AK112" s="628">
        <v>0.446</v>
      </c>
      <c r="AL112" s="628">
        <v>0.125</v>
      </c>
      <c r="AM112" s="628">
        <v>0.042</v>
      </c>
      <c r="AN112" s="163" t="s">
        <v>397</v>
      </c>
      <c r="AO112" s="138">
        <f t="shared" si="59"/>
        <v>0</v>
      </c>
      <c r="AP112" s="164">
        <f t="shared" si="60"/>
        <v>0</v>
      </c>
      <c r="AQ112" s="162">
        <f t="shared" si="61"/>
        <v>0</v>
      </c>
      <c r="AR112" s="162">
        <f t="shared" si="62"/>
        <v>0</v>
      </c>
      <c r="AS112" s="162">
        <f t="shared" si="63"/>
        <v>0</v>
      </c>
      <c r="AT112" s="162">
        <f t="shared" si="64"/>
        <v>0</v>
      </c>
      <c r="AU112" s="161">
        <f t="shared" si="65"/>
        <v>0</v>
      </c>
      <c r="AV112" s="161">
        <f t="shared" si="66"/>
        <v>0</v>
      </c>
      <c r="AW112" s="161">
        <f t="shared" si="67"/>
        <v>0</v>
      </c>
      <c r="AX112" s="161">
        <f t="shared" si="68"/>
        <v>0</v>
      </c>
      <c r="AY112" s="161">
        <f t="shared" si="69"/>
        <v>0</v>
      </c>
      <c r="AZ112" s="165">
        <f t="shared" si="70"/>
        <v>0</v>
      </c>
    </row>
    <row r="113" spans="1:52" ht="14.25" customHeight="1">
      <c r="A113" s="37"/>
      <c r="B113" s="688">
        <v>0</v>
      </c>
      <c r="C113" s="494" t="str">
        <f t="shared" si="56"/>
        <v>OTHER</v>
      </c>
      <c r="D113" s="285" t="str">
        <f t="shared" si="57"/>
        <v>-</v>
      </c>
      <c r="E113" s="607"/>
      <c r="F113" s="618">
        <v>8</v>
      </c>
      <c r="G113" s="1253"/>
      <c r="H113" s="1348" t="s">
        <v>804</v>
      </c>
      <c r="I113" s="1349"/>
      <c r="J113" s="907">
        <v>55</v>
      </c>
      <c r="K113" s="907">
        <v>6.8</v>
      </c>
      <c r="L113" s="270"/>
      <c r="M113" s="270"/>
      <c r="N113" s="1272" t="s">
        <v>287</v>
      </c>
      <c r="O113" s="1273"/>
      <c r="P113" s="771">
        <v>30</v>
      </c>
      <c r="Q113" s="1156"/>
      <c r="R113" s="1157"/>
      <c r="S113" s="270"/>
      <c r="T113" s="917">
        <f t="shared" si="72"/>
        <v>3.5</v>
      </c>
      <c r="U113" s="919">
        <f t="shared" si="71"/>
        <v>11.025</v>
      </c>
      <c r="V113" s="33"/>
      <c r="W113" s="37"/>
      <c r="X113" s="37"/>
      <c r="Y113" s="110"/>
      <c r="Z113" s="177"/>
      <c r="AA113" s="635" t="s">
        <v>184</v>
      </c>
      <c r="AB113" s="621" t="s">
        <v>595</v>
      </c>
      <c r="AC113" s="633"/>
      <c r="AD113" s="628">
        <v>0</v>
      </c>
      <c r="AE113" s="628">
        <v>0</v>
      </c>
      <c r="AF113" s="628">
        <v>0</v>
      </c>
      <c r="AG113" s="628">
        <v>0</v>
      </c>
      <c r="AH113" s="628">
        <v>0</v>
      </c>
      <c r="AI113" s="628">
        <v>0</v>
      </c>
      <c r="AJ113" s="628">
        <v>0</v>
      </c>
      <c r="AK113" s="628">
        <v>0</v>
      </c>
      <c r="AL113" s="628">
        <v>0</v>
      </c>
      <c r="AM113" s="628">
        <v>0</v>
      </c>
      <c r="AN113" s="893"/>
      <c r="AO113" s="138">
        <f t="shared" si="59"/>
        <v>0</v>
      </c>
      <c r="AP113" s="164">
        <f t="shared" si="60"/>
        <v>0</v>
      </c>
      <c r="AQ113" s="162">
        <f t="shared" si="61"/>
        <v>0</v>
      </c>
      <c r="AR113" s="162">
        <f t="shared" si="62"/>
        <v>0</v>
      </c>
      <c r="AS113" s="162">
        <f t="shared" si="63"/>
        <v>0</v>
      </c>
      <c r="AT113" s="162">
        <f t="shared" si="64"/>
        <v>0</v>
      </c>
      <c r="AU113" s="161">
        <f t="shared" si="65"/>
        <v>0</v>
      </c>
      <c r="AV113" s="161">
        <f t="shared" si="66"/>
        <v>0</v>
      </c>
      <c r="AW113" s="161">
        <f t="shared" si="67"/>
        <v>0</v>
      </c>
      <c r="AX113" s="161">
        <f t="shared" si="68"/>
        <v>0</v>
      </c>
      <c r="AY113" s="161">
        <f t="shared" si="69"/>
        <v>0</v>
      </c>
      <c r="AZ113" s="165">
        <f t="shared" si="70"/>
        <v>0</v>
      </c>
    </row>
    <row r="114" spans="1:52" ht="14.25" customHeight="1">
      <c r="A114" s="37"/>
      <c r="B114" s="1244" t="s">
        <v>147</v>
      </c>
      <c r="C114" s="1248" t="s">
        <v>211</v>
      </c>
      <c r="D114" s="1249"/>
      <c r="E114" s="378" t="s">
        <v>238</v>
      </c>
      <c r="F114" s="380" t="s">
        <v>244</v>
      </c>
      <c r="G114" s="763"/>
      <c r="H114" s="1259" t="s">
        <v>810</v>
      </c>
      <c r="I114" s="1260"/>
      <c r="J114" s="906">
        <v>74</v>
      </c>
      <c r="K114" s="906">
        <v>9</v>
      </c>
      <c r="L114" s="270"/>
      <c r="M114" s="270"/>
      <c r="N114" s="1272" t="s">
        <v>288</v>
      </c>
      <c r="O114" s="1273"/>
      <c r="P114" s="771">
        <v>4.5</v>
      </c>
      <c r="Q114" s="1171" t="str">
        <f>"litres or "&amp;FIXED(200*P114/SUM(P114:P116),0)&amp;"% wine"</f>
        <v>litres or 35% wine</v>
      </c>
      <c r="R114" s="1172"/>
      <c r="S114" s="270"/>
      <c r="T114" s="917">
        <f t="shared" si="72"/>
        <v>3.75</v>
      </c>
      <c r="U114" s="919">
        <f t="shared" si="71"/>
        <v>11.8125</v>
      </c>
      <c r="V114" s="33"/>
      <c r="W114" s="37"/>
      <c r="X114" s="37"/>
      <c r="Y114" s="110"/>
      <c r="Z114" s="177"/>
      <c r="AA114" s="732"/>
      <c r="AB114" s="732"/>
      <c r="AC114" s="638"/>
      <c r="AD114" s="638"/>
      <c r="AE114" s="638"/>
      <c r="AF114" s="638"/>
      <c r="AG114" s="638"/>
      <c r="AH114" s="638"/>
      <c r="AI114" s="638"/>
      <c r="AJ114" s="638"/>
      <c r="AK114" s="638"/>
      <c r="AL114" s="638"/>
      <c r="AM114" s="638"/>
      <c r="AN114" s="901"/>
      <c r="AO114" s="169"/>
      <c r="AP114" s="169"/>
      <c r="AQ114" s="169"/>
      <c r="AR114" s="169"/>
      <c r="AS114" s="169"/>
      <c r="AT114" s="169"/>
      <c r="AU114" s="169"/>
      <c r="AV114" s="169"/>
      <c r="AW114" s="169"/>
      <c r="AX114" s="169"/>
      <c r="AY114" s="169"/>
      <c r="AZ114" s="143"/>
    </row>
    <row r="115" spans="1:52" ht="14.25" customHeight="1">
      <c r="A115" s="37"/>
      <c r="B115" s="1245"/>
      <c r="C115" s="1246" t="s">
        <v>212</v>
      </c>
      <c r="D115" s="1247"/>
      <c r="E115" s="541" t="s">
        <v>76</v>
      </c>
      <c r="F115" s="542" t="s">
        <v>134</v>
      </c>
      <c r="G115" s="764"/>
      <c r="H115" s="1348" t="s">
        <v>805</v>
      </c>
      <c r="I115" s="1349"/>
      <c r="J115" s="907">
        <v>35</v>
      </c>
      <c r="K115" s="907">
        <v>3</v>
      </c>
      <c r="L115" s="270"/>
      <c r="M115" s="270"/>
      <c r="N115" s="1272" t="s">
        <v>289</v>
      </c>
      <c r="O115" s="1273"/>
      <c r="P115" s="772">
        <f>((P113-P112)/(P111-P113))*P114</f>
        <v>8.370000000000001</v>
      </c>
      <c r="Q115" s="1152" t="str">
        <f>"litres or "&amp;FIXED(200*P115/SUM(P114:P116),0)&amp;"% spirit"</f>
        <v>litres or 65% spirit</v>
      </c>
      <c r="R115" s="1153"/>
      <c r="S115" s="270"/>
      <c r="T115" s="917">
        <f t="shared" si="72"/>
        <v>4</v>
      </c>
      <c r="U115" s="919">
        <f t="shared" si="71"/>
        <v>12.6</v>
      </c>
      <c r="V115" s="33"/>
      <c r="W115" s="37"/>
      <c r="X115" s="37"/>
      <c r="Y115" s="110"/>
      <c r="Z115" s="177"/>
      <c r="AA115" s="1211" t="s">
        <v>683</v>
      </c>
      <c r="AB115" s="1211"/>
      <c r="AC115" s="1211"/>
      <c r="AD115" s="1211"/>
      <c r="AE115" s="1211"/>
      <c r="AF115" s="1211"/>
      <c r="AG115" s="1211"/>
      <c r="AH115" s="1211"/>
      <c r="AI115" s="1211"/>
      <c r="AJ115" s="1211"/>
      <c r="AK115" s="1211"/>
      <c r="AL115" s="1211"/>
      <c r="AM115" s="1211"/>
      <c r="AN115" s="901"/>
      <c r="AO115" s="169"/>
      <c r="AP115" s="169"/>
      <c r="AQ115" s="169"/>
      <c r="AR115" s="169"/>
      <c r="AS115" s="169"/>
      <c r="AT115" s="169"/>
      <c r="AU115" s="169"/>
      <c r="AV115" s="169"/>
      <c r="AW115" s="169"/>
      <c r="AX115" s="169"/>
      <c r="AY115" s="169"/>
      <c r="AZ115" s="143"/>
    </row>
    <row r="116" spans="1:52" ht="14.25" customHeight="1">
      <c r="A116" s="37"/>
      <c r="B116" s="692">
        <v>0</v>
      </c>
      <c r="C116" s="494" t="str">
        <f aca="true" t="shared" si="73" ref="C116:C128">AA116</f>
        <v>APPLE</v>
      </c>
      <c r="D116" s="285" t="str">
        <f aca="true" t="shared" si="74" ref="D116:D128">AB116</f>
        <v>-</v>
      </c>
      <c r="E116" s="607">
        <v>3000</v>
      </c>
      <c r="F116" s="618">
        <v>11</v>
      </c>
      <c r="G116" s="1274" t="s">
        <v>688</v>
      </c>
      <c r="H116" s="1348" t="s">
        <v>808</v>
      </c>
      <c r="I116" s="1349"/>
      <c r="J116" s="907">
        <v>58</v>
      </c>
      <c r="K116" s="907">
        <v>4.9</v>
      </c>
      <c r="L116" s="270"/>
      <c r="M116" s="270"/>
      <c r="N116" s="1148" t="s">
        <v>716</v>
      </c>
      <c r="O116" s="1149"/>
      <c r="P116" s="773">
        <f>P114+P115</f>
        <v>12.870000000000001</v>
      </c>
      <c r="Q116" s="1146" t="str">
        <f>"litres or "&amp;FIXED(200*P116/SUM(P114:P116),0)&amp;"% total"</f>
        <v>litres or 100% total</v>
      </c>
      <c r="R116" s="1147"/>
      <c r="S116" s="270"/>
      <c r="T116" s="917">
        <f t="shared" si="72"/>
        <v>4.25</v>
      </c>
      <c r="U116" s="919">
        <f t="shared" si="71"/>
        <v>13.3875</v>
      </c>
      <c r="V116" s="33"/>
      <c r="W116" s="37"/>
      <c r="X116" s="37"/>
      <c r="Y116" s="110"/>
      <c r="Z116" s="177"/>
      <c r="AA116" s="635" t="s">
        <v>155</v>
      </c>
      <c r="AB116" s="621" t="s">
        <v>595</v>
      </c>
      <c r="AC116" s="633"/>
      <c r="AD116" s="628">
        <v>0.69</v>
      </c>
      <c r="AE116" s="630">
        <v>0.01</v>
      </c>
      <c r="AF116" s="629">
        <f aca="true" t="shared" si="75" ref="AF116:AF126">F116*1.01</f>
        <v>11.11</v>
      </c>
      <c r="AG116" s="628">
        <v>0.2</v>
      </c>
      <c r="AH116" s="630">
        <v>0</v>
      </c>
      <c r="AI116" s="628">
        <v>115</v>
      </c>
      <c r="AJ116" s="628">
        <v>0.02</v>
      </c>
      <c r="AK116" s="628">
        <v>0.1</v>
      </c>
      <c r="AL116" s="628">
        <v>0.049</v>
      </c>
      <c r="AM116" s="628">
        <v>0.03</v>
      </c>
      <c r="AN116" s="163"/>
      <c r="AO116" s="138">
        <f aca="true" t="shared" si="76" ref="AO116:AO128">B116*E116</f>
        <v>0</v>
      </c>
      <c r="AP116" s="173">
        <f aca="true" t="shared" si="77" ref="AP116:AP128">($E116*F116/100)</f>
        <v>330</v>
      </c>
      <c r="AQ116" s="162">
        <f aca="true" t="shared" si="78" ref="AQ116:AQ128">($E116*(1+AD116*0.00375)*AD116/100)</f>
        <v>20.753561249999997</v>
      </c>
      <c r="AR116" s="162">
        <f aca="true" t="shared" si="79" ref="AR116:AR128">($E116*(1+AE116*0.00375)*AE116/100)</f>
        <v>0.30001125</v>
      </c>
      <c r="AS116" s="162">
        <f aca="true" t="shared" si="80" ref="AS116:AS128">E116*(AF116-F116)/100</f>
        <v>3.299999999999983</v>
      </c>
      <c r="AT116" s="162">
        <f aca="true" t="shared" si="81" ref="AT116:AT128">E116*AG116/1200</f>
        <v>0.5</v>
      </c>
      <c r="AU116" s="161">
        <f aca="true" t="shared" si="82" ref="AU116:AU128">$E116*AH116/100</f>
        <v>0</v>
      </c>
      <c r="AV116" s="161">
        <f aca="true" t="shared" si="83" ref="AV116:AV128">$E116*AI116/100</f>
        <v>3450</v>
      </c>
      <c r="AW116" s="161">
        <f aca="true" t="shared" si="84" ref="AW116:AW128">$E116*AJ116/100</f>
        <v>0.6</v>
      </c>
      <c r="AX116" s="161">
        <f aca="true" t="shared" si="85" ref="AX116:AX128">$E116*AK116/100</f>
        <v>3</v>
      </c>
      <c r="AY116" s="161">
        <f aca="true" t="shared" si="86" ref="AY116:AY128">$E116*AL116/100</f>
        <v>1.47</v>
      </c>
      <c r="AZ116" s="165">
        <f aca="true" t="shared" si="87" ref="AZ116:AZ128">$E116*AM116/100</f>
        <v>0.9</v>
      </c>
    </row>
    <row r="117" spans="1:52" ht="14.25" customHeight="1">
      <c r="A117" s="37"/>
      <c r="B117" s="692">
        <v>0</v>
      </c>
      <c r="C117" s="494" t="str">
        <f t="shared" si="73"/>
        <v>CRANBERRY</v>
      </c>
      <c r="D117" s="285" t="str">
        <f t="shared" si="74"/>
        <v>-</v>
      </c>
      <c r="E117" s="607"/>
      <c r="F117" s="618">
        <v>12</v>
      </c>
      <c r="G117" s="1274"/>
      <c r="H117" s="270"/>
      <c r="I117" s="270"/>
      <c r="J117" s="270"/>
      <c r="K117" s="270"/>
      <c r="L117" s="270"/>
      <c r="M117" s="270"/>
      <c r="N117" s="270"/>
      <c r="O117" s="270"/>
      <c r="P117" s="270"/>
      <c r="Q117" s="270"/>
      <c r="R117" s="270"/>
      <c r="S117" s="769"/>
      <c r="T117" s="917">
        <f t="shared" si="72"/>
        <v>4.5</v>
      </c>
      <c r="U117" s="919">
        <f t="shared" si="71"/>
        <v>14.174999999999999</v>
      </c>
      <c r="V117" s="33"/>
      <c r="W117" s="37"/>
      <c r="X117" s="37"/>
      <c r="Y117" s="110"/>
      <c r="Z117" s="177"/>
      <c r="AA117" s="635" t="s">
        <v>163</v>
      </c>
      <c r="AB117" s="621" t="s">
        <v>595</v>
      </c>
      <c r="AC117" s="633"/>
      <c r="AD117" s="630">
        <v>0.8</v>
      </c>
      <c r="AE117" s="630">
        <v>0.2</v>
      </c>
      <c r="AF117" s="629">
        <f t="shared" si="75"/>
        <v>12.120000000000001</v>
      </c>
      <c r="AG117" s="630">
        <v>0.2</v>
      </c>
      <c r="AH117" s="628">
        <v>0.1</v>
      </c>
      <c r="AI117" s="628">
        <v>75</v>
      </c>
      <c r="AJ117" s="628">
        <v>0.009</v>
      </c>
      <c r="AK117" s="628">
        <v>0.091</v>
      </c>
      <c r="AL117" s="628">
        <v>0</v>
      </c>
      <c r="AM117" s="628">
        <v>0.052</v>
      </c>
      <c r="AN117" s="163"/>
      <c r="AO117" s="138">
        <f t="shared" si="76"/>
        <v>0</v>
      </c>
      <c r="AP117" s="173">
        <f t="shared" si="77"/>
        <v>0</v>
      </c>
      <c r="AQ117" s="162">
        <f t="shared" si="78"/>
        <v>0</v>
      </c>
      <c r="AR117" s="162">
        <f t="shared" si="79"/>
        <v>0</v>
      </c>
      <c r="AS117" s="162">
        <f t="shared" si="80"/>
        <v>0</v>
      </c>
      <c r="AT117" s="162">
        <f t="shared" si="81"/>
        <v>0</v>
      </c>
      <c r="AU117" s="161">
        <f t="shared" si="82"/>
        <v>0</v>
      </c>
      <c r="AV117" s="161">
        <f t="shared" si="83"/>
        <v>0</v>
      </c>
      <c r="AW117" s="161">
        <f t="shared" si="84"/>
        <v>0</v>
      </c>
      <c r="AX117" s="161">
        <f t="shared" si="85"/>
        <v>0</v>
      </c>
      <c r="AY117" s="161">
        <f t="shared" si="86"/>
        <v>0</v>
      </c>
      <c r="AZ117" s="165">
        <f t="shared" si="87"/>
        <v>0</v>
      </c>
    </row>
    <row r="118" spans="1:52" ht="14.25" customHeight="1">
      <c r="A118" s="37"/>
      <c r="B118" s="692">
        <v>0</v>
      </c>
      <c r="C118" s="494" t="str">
        <f t="shared" si="73"/>
        <v>GRAPE</v>
      </c>
      <c r="D118" s="285" t="str">
        <f t="shared" si="74"/>
        <v>WHITE</v>
      </c>
      <c r="E118" s="607"/>
      <c r="F118" s="618">
        <v>15.6</v>
      </c>
      <c r="G118" s="1274"/>
      <c r="H118" s="270"/>
      <c r="I118" s="270"/>
      <c r="J118" s="270"/>
      <c r="K118" s="270"/>
      <c r="L118" s="270"/>
      <c r="M118" s="270"/>
      <c r="N118" s="270"/>
      <c r="O118" s="904"/>
      <c r="P118" s="905"/>
      <c r="Q118" s="904"/>
      <c r="R118" s="905"/>
      <c r="S118" s="769"/>
      <c r="T118" s="917">
        <f t="shared" si="72"/>
        <v>4.75</v>
      </c>
      <c r="U118" s="919">
        <f t="shared" si="71"/>
        <v>14.9625</v>
      </c>
      <c r="V118" s="33"/>
      <c r="W118" s="37"/>
      <c r="X118" s="37"/>
      <c r="Y118" s="110"/>
      <c r="Z118" s="177"/>
      <c r="AA118" s="635" t="s">
        <v>169</v>
      </c>
      <c r="AB118" s="621" t="s">
        <v>234</v>
      </c>
      <c r="AC118" s="633"/>
      <c r="AD118" s="628">
        <v>0.72</v>
      </c>
      <c r="AE118" s="628">
        <v>0.02</v>
      </c>
      <c r="AF118" s="629">
        <f t="shared" si="75"/>
        <v>15.756</v>
      </c>
      <c r="AG118" s="630">
        <v>0.2</v>
      </c>
      <c r="AH118" s="630">
        <v>380</v>
      </c>
      <c r="AI118" s="628">
        <v>130</v>
      </c>
      <c r="AJ118" s="628">
        <v>0.03</v>
      </c>
      <c r="AK118" s="628">
        <v>0.26</v>
      </c>
      <c r="AL118" s="628">
        <v>0.048</v>
      </c>
      <c r="AM118" s="628">
        <v>0.07</v>
      </c>
      <c r="AN118" s="163" t="s">
        <v>399</v>
      </c>
      <c r="AO118" s="138">
        <f t="shared" si="76"/>
        <v>0</v>
      </c>
      <c r="AP118" s="173">
        <f t="shared" si="77"/>
        <v>0</v>
      </c>
      <c r="AQ118" s="162">
        <f t="shared" si="78"/>
        <v>0</v>
      </c>
      <c r="AR118" s="162">
        <f t="shared" si="79"/>
        <v>0</v>
      </c>
      <c r="AS118" s="162">
        <f t="shared" si="80"/>
        <v>0</v>
      </c>
      <c r="AT118" s="162">
        <f t="shared" si="81"/>
        <v>0</v>
      </c>
      <c r="AU118" s="161">
        <f t="shared" si="82"/>
        <v>0</v>
      </c>
      <c r="AV118" s="161">
        <f t="shared" si="83"/>
        <v>0</v>
      </c>
      <c r="AW118" s="161">
        <f t="shared" si="84"/>
        <v>0</v>
      </c>
      <c r="AX118" s="161">
        <f t="shared" si="85"/>
        <v>0</v>
      </c>
      <c r="AY118" s="161">
        <f t="shared" si="86"/>
        <v>0</v>
      </c>
      <c r="AZ118" s="165">
        <f t="shared" si="87"/>
        <v>0</v>
      </c>
    </row>
    <row r="119" spans="1:52" ht="14.25" customHeight="1">
      <c r="A119" s="37"/>
      <c r="B119" s="692">
        <v>0</v>
      </c>
      <c r="C119" s="494" t="str">
        <f t="shared" si="73"/>
        <v>     "</v>
      </c>
      <c r="D119" s="285" t="str">
        <f t="shared" si="74"/>
        <v>RED</v>
      </c>
      <c r="E119" s="607"/>
      <c r="F119" s="618">
        <v>15.6</v>
      </c>
      <c r="G119" s="1274"/>
      <c r="H119" s="1151" t="s">
        <v>677</v>
      </c>
      <c r="I119" s="1151"/>
      <c r="J119" s="1151"/>
      <c r="K119" s="1151"/>
      <c r="L119" s="270"/>
      <c r="M119" s="270"/>
      <c r="N119" s="270"/>
      <c r="O119" s="905"/>
      <c r="P119" s="905"/>
      <c r="Q119" s="109"/>
      <c r="R119" s="109"/>
      <c r="S119" s="198"/>
      <c r="T119" s="917">
        <f t="shared" si="72"/>
        <v>5</v>
      </c>
      <c r="U119" s="919">
        <f t="shared" si="71"/>
        <v>15.75</v>
      </c>
      <c r="V119" s="33"/>
      <c r="W119" s="37"/>
      <c r="X119" s="37"/>
      <c r="Y119" s="110"/>
      <c r="Z119" s="177"/>
      <c r="AA119" s="635" t="s">
        <v>596</v>
      </c>
      <c r="AB119" s="621" t="s">
        <v>231</v>
      </c>
      <c r="AC119" s="633"/>
      <c r="AD119" s="628">
        <v>0.72</v>
      </c>
      <c r="AE119" s="630">
        <v>0.2</v>
      </c>
      <c r="AF119" s="629">
        <f t="shared" si="75"/>
        <v>15.756</v>
      </c>
      <c r="AG119" s="630">
        <v>0.2</v>
      </c>
      <c r="AH119" s="630">
        <v>380</v>
      </c>
      <c r="AI119" s="628">
        <v>130</v>
      </c>
      <c r="AJ119" s="628">
        <v>0.03</v>
      </c>
      <c r="AK119" s="628">
        <v>0.26</v>
      </c>
      <c r="AL119" s="628">
        <v>0.048</v>
      </c>
      <c r="AM119" s="628">
        <v>0.07</v>
      </c>
      <c r="AN119" s="163" t="s">
        <v>399</v>
      </c>
      <c r="AO119" s="138">
        <f t="shared" si="76"/>
        <v>0</v>
      </c>
      <c r="AP119" s="173">
        <f t="shared" si="77"/>
        <v>0</v>
      </c>
      <c r="AQ119" s="162">
        <f t="shared" si="78"/>
        <v>0</v>
      </c>
      <c r="AR119" s="162">
        <f t="shared" si="79"/>
        <v>0</v>
      </c>
      <c r="AS119" s="162">
        <f t="shared" si="80"/>
        <v>0</v>
      </c>
      <c r="AT119" s="162">
        <f t="shared" si="81"/>
        <v>0</v>
      </c>
      <c r="AU119" s="161">
        <f t="shared" si="82"/>
        <v>0</v>
      </c>
      <c r="AV119" s="161">
        <f t="shared" si="83"/>
        <v>0</v>
      </c>
      <c r="AW119" s="161">
        <f t="shared" si="84"/>
        <v>0</v>
      </c>
      <c r="AX119" s="161">
        <f t="shared" si="85"/>
        <v>0</v>
      </c>
      <c r="AY119" s="161">
        <f t="shared" si="86"/>
        <v>0</v>
      </c>
      <c r="AZ119" s="165">
        <f t="shared" si="87"/>
        <v>0</v>
      </c>
    </row>
    <row r="120" spans="1:52" ht="14.25" customHeight="1">
      <c r="A120" s="37"/>
      <c r="B120" s="692">
        <v>0</v>
      </c>
      <c r="C120" s="494" t="str">
        <f t="shared" si="73"/>
        <v>GRAPEFRUIT</v>
      </c>
      <c r="D120" s="285" t="str">
        <f t="shared" si="74"/>
        <v>-</v>
      </c>
      <c r="E120" s="607"/>
      <c r="F120" s="618">
        <v>9</v>
      </c>
      <c r="G120" s="1274"/>
      <c r="H120" s="1278" t="s">
        <v>290</v>
      </c>
      <c r="I120" s="1279"/>
      <c r="J120" s="544">
        <v>1079</v>
      </c>
      <c r="K120" s="1223" t="s">
        <v>671</v>
      </c>
      <c r="L120" s="1224"/>
      <c r="M120" s="1224"/>
      <c r="N120" s="1224"/>
      <c r="O120" s="1224"/>
      <c r="P120" s="1224"/>
      <c r="Q120" s="1224"/>
      <c r="R120" s="1224"/>
      <c r="S120" s="198"/>
      <c r="T120" s="917">
        <f t="shared" si="72"/>
        <v>5.25</v>
      </c>
      <c r="U120" s="919">
        <f t="shared" si="71"/>
        <v>16.537499999999998</v>
      </c>
      <c r="V120" s="33"/>
      <c r="W120" s="37"/>
      <c r="X120" s="37"/>
      <c r="Y120" s="110"/>
      <c r="Z120" s="177"/>
      <c r="AA120" s="635" t="s">
        <v>171</v>
      </c>
      <c r="AB120" s="621" t="s">
        <v>595</v>
      </c>
      <c r="AC120" s="633"/>
      <c r="AD120" s="628">
        <v>1.5</v>
      </c>
      <c r="AE120" s="630">
        <v>0.01</v>
      </c>
      <c r="AF120" s="629">
        <f t="shared" si="75"/>
        <v>9.09</v>
      </c>
      <c r="AG120" s="630">
        <v>0.2</v>
      </c>
      <c r="AH120" s="630">
        <v>0</v>
      </c>
      <c r="AI120" s="628">
        <v>150</v>
      </c>
      <c r="AJ120" s="628">
        <v>0.042</v>
      </c>
      <c r="AK120" s="628">
        <v>0.231</v>
      </c>
      <c r="AL120" s="628">
        <v>0.13</v>
      </c>
      <c r="AM120" s="628">
        <v>0.02</v>
      </c>
      <c r="AN120" s="163" t="s">
        <v>397</v>
      </c>
      <c r="AO120" s="138">
        <f t="shared" si="76"/>
        <v>0</v>
      </c>
      <c r="AP120" s="173">
        <f t="shared" si="77"/>
        <v>0</v>
      </c>
      <c r="AQ120" s="162">
        <f t="shared" si="78"/>
        <v>0</v>
      </c>
      <c r="AR120" s="162">
        <f t="shared" si="79"/>
        <v>0</v>
      </c>
      <c r="AS120" s="162">
        <f t="shared" si="80"/>
        <v>0</v>
      </c>
      <c r="AT120" s="162">
        <f t="shared" si="81"/>
        <v>0</v>
      </c>
      <c r="AU120" s="161">
        <f t="shared" si="82"/>
        <v>0</v>
      </c>
      <c r="AV120" s="161">
        <f t="shared" si="83"/>
        <v>0</v>
      </c>
      <c r="AW120" s="161">
        <f t="shared" si="84"/>
        <v>0</v>
      </c>
      <c r="AX120" s="161">
        <f t="shared" si="85"/>
        <v>0</v>
      </c>
      <c r="AY120" s="161">
        <f t="shared" si="86"/>
        <v>0</v>
      </c>
      <c r="AZ120" s="165">
        <f t="shared" si="87"/>
        <v>0</v>
      </c>
    </row>
    <row r="121" spans="1:52" ht="14.25" customHeight="1">
      <c r="A121" s="37"/>
      <c r="B121" s="692">
        <v>0</v>
      </c>
      <c r="C121" s="494" t="str">
        <f t="shared" si="73"/>
        <v>"FIVE ALIVE"</v>
      </c>
      <c r="D121" s="285" t="str">
        <f t="shared" si="74"/>
        <v>-</v>
      </c>
      <c r="E121" s="607"/>
      <c r="F121" s="618">
        <v>10</v>
      </c>
      <c r="G121" s="1274"/>
      <c r="H121" s="1275" t="s">
        <v>291</v>
      </c>
      <c r="I121" s="1276"/>
      <c r="J121" s="545">
        <v>994</v>
      </c>
      <c r="K121" s="1223"/>
      <c r="L121" s="1224"/>
      <c r="M121" s="1224"/>
      <c r="N121" s="1224"/>
      <c r="O121" s="1224"/>
      <c r="P121" s="1224"/>
      <c r="Q121" s="1224"/>
      <c r="R121" s="1224"/>
      <c r="S121" s="37"/>
      <c r="T121" s="917">
        <f t="shared" si="72"/>
        <v>5.5</v>
      </c>
      <c r="U121" s="919">
        <f t="shared" si="71"/>
        <v>17.325</v>
      </c>
      <c r="V121" s="33"/>
      <c r="W121" s="37"/>
      <c r="X121" s="37"/>
      <c r="Y121" s="110"/>
      <c r="Z121" s="177"/>
      <c r="AA121" s="635" t="s">
        <v>213</v>
      </c>
      <c r="AB121" s="621" t="s">
        <v>595</v>
      </c>
      <c r="AC121" s="633"/>
      <c r="AD121" s="628">
        <v>0.48</v>
      </c>
      <c r="AE121" s="630">
        <v>0.01</v>
      </c>
      <c r="AF121" s="631">
        <f t="shared" si="75"/>
        <v>10.1</v>
      </c>
      <c r="AG121" s="630">
        <v>0.2</v>
      </c>
      <c r="AH121" s="630">
        <v>50</v>
      </c>
      <c r="AI121" s="630">
        <v>150</v>
      </c>
      <c r="AJ121" s="628">
        <v>0.04</v>
      </c>
      <c r="AK121" s="628">
        <v>0.4</v>
      </c>
      <c r="AL121" s="628">
        <v>0.13</v>
      </c>
      <c r="AM121" s="628">
        <v>0.02</v>
      </c>
      <c r="AN121" s="163"/>
      <c r="AO121" s="138">
        <f t="shared" si="76"/>
        <v>0</v>
      </c>
      <c r="AP121" s="173">
        <f t="shared" si="77"/>
        <v>0</v>
      </c>
      <c r="AQ121" s="162">
        <f t="shared" si="78"/>
        <v>0</v>
      </c>
      <c r="AR121" s="162">
        <f t="shared" si="79"/>
        <v>0</v>
      </c>
      <c r="AS121" s="162">
        <f t="shared" si="80"/>
        <v>0</v>
      </c>
      <c r="AT121" s="162">
        <f t="shared" si="81"/>
        <v>0</v>
      </c>
      <c r="AU121" s="161">
        <f t="shared" si="82"/>
        <v>0</v>
      </c>
      <c r="AV121" s="161">
        <f t="shared" si="83"/>
        <v>0</v>
      </c>
      <c r="AW121" s="161">
        <f t="shared" si="84"/>
        <v>0</v>
      </c>
      <c r="AX121" s="161">
        <f t="shared" si="85"/>
        <v>0</v>
      </c>
      <c r="AY121" s="161">
        <f t="shared" si="86"/>
        <v>0</v>
      </c>
      <c r="AZ121" s="165">
        <f t="shared" si="87"/>
        <v>0</v>
      </c>
    </row>
    <row r="122" spans="1:52" ht="14.25" customHeight="1">
      <c r="A122" s="37"/>
      <c r="B122" s="692">
        <v>0</v>
      </c>
      <c r="C122" s="494" t="str">
        <f t="shared" si="73"/>
        <v>ORANGE</v>
      </c>
      <c r="D122" s="285" t="str">
        <f t="shared" si="74"/>
        <v>-</v>
      </c>
      <c r="E122" s="607"/>
      <c r="F122" s="618">
        <v>8.4</v>
      </c>
      <c r="G122" s="1274"/>
      <c r="H122" s="1277" t="s">
        <v>292</v>
      </c>
      <c r="I122" s="1277"/>
      <c r="J122" s="516">
        <f>(J120-J121)/(7.75-(3*(J120-1000)/800))</f>
        <v>11.4036558779138</v>
      </c>
      <c r="K122" s="742"/>
      <c r="L122" s="742"/>
      <c r="M122" s="742"/>
      <c r="N122" s="742"/>
      <c r="O122" s="742"/>
      <c r="P122" s="742"/>
      <c r="Q122" s="742"/>
      <c r="R122" s="37"/>
      <c r="S122" s="37"/>
      <c r="T122" s="917">
        <f t="shared" si="72"/>
        <v>5.75</v>
      </c>
      <c r="U122" s="919">
        <f t="shared" si="71"/>
        <v>18.1125</v>
      </c>
      <c r="V122" s="33"/>
      <c r="W122" s="37"/>
      <c r="X122" s="37"/>
      <c r="Y122" s="110"/>
      <c r="Z122" s="177"/>
      <c r="AA122" s="635" t="s">
        <v>183</v>
      </c>
      <c r="AB122" s="621" t="s">
        <v>595</v>
      </c>
      <c r="AC122" s="633"/>
      <c r="AD122" s="628">
        <v>0.98</v>
      </c>
      <c r="AE122" s="630">
        <v>0.01</v>
      </c>
      <c r="AF122" s="629">
        <f t="shared" si="75"/>
        <v>8.484</v>
      </c>
      <c r="AG122" s="630">
        <v>0.2</v>
      </c>
      <c r="AH122" s="630">
        <v>290</v>
      </c>
      <c r="AI122" s="628">
        <v>180</v>
      </c>
      <c r="AJ122" s="628">
        <v>0.04</v>
      </c>
      <c r="AK122" s="628">
        <v>0.2</v>
      </c>
      <c r="AL122" s="628">
        <v>0.18</v>
      </c>
      <c r="AM122" s="628">
        <v>0.03</v>
      </c>
      <c r="AN122" s="163" t="s">
        <v>397</v>
      </c>
      <c r="AO122" s="138">
        <f t="shared" si="76"/>
        <v>0</v>
      </c>
      <c r="AP122" s="173">
        <f t="shared" si="77"/>
        <v>0</v>
      </c>
      <c r="AQ122" s="162">
        <f t="shared" si="78"/>
        <v>0</v>
      </c>
      <c r="AR122" s="162">
        <f t="shared" si="79"/>
        <v>0</v>
      </c>
      <c r="AS122" s="162">
        <f t="shared" si="80"/>
        <v>0</v>
      </c>
      <c r="AT122" s="162">
        <f t="shared" si="81"/>
        <v>0</v>
      </c>
      <c r="AU122" s="161">
        <f t="shared" si="82"/>
        <v>0</v>
      </c>
      <c r="AV122" s="161">
        <f t="shared" si="83"/>
        <v>0</v>
      </c>
      <c r="AW122" s="161">
        <f t="shared" si="84"/>
        <v>0</v>
      </c>
      <c r="AX122" s="161">
        <f t="shared" si="85"/>
        <v>0</v>
      </c>
      <c r="AY122" s="161">
        <f t="shared" si="86"/>
        <v>0</v>
      </c>
      <c r="AZ122" s="165">
        <f t="shared" si="87"/>
        <v>0</v>
      </c>
    </row>
    <row r="123" spans="1:52" ht="14.25" customHeight="1">
      <c r="A123" s="37"/>
      <c r="B123" s="692">
        <v>0</v>
      </c>
      <c r="C123" s="494" t="str">
        <f t="shared" si="73"/>
        <v>RIBENA</v>
      </c>
      <c r="D123" s="285" t="str">
        <f t="shared" si="74"/>
        <v>-</v>
      </c>
      <c r="E123" s="607"/>
      <c r="F123" s="618">
        <v>10.4</v>
      </c>
      <c r="G123" s="1274"/>
      <c r="H123" s="270"/>
      <c r="I123" s="270"/>
      <c r="J123" s="270"/>
      <c r="K123" s="270"/>
      <c r="L123" s="270"/>
      <c r="M123" s="270"/>
      <c r="N123" s="270"/>
      <c r="O123" s="270"/>
      <c r="P123" s="270"/>
      <c r="Q123" s="37"/>
      <c r="R123" s="37"/>
      <c r="S123" s="37"/>
      <c r="T123" s="917">
        <f t="shared" si="72"/>
        <v>6</v>
      </c>
      <c r="U123" s="919">
        <f t="shared" si="71"/>
        <v>18.9</v>
      </c>
      <c r="V123" s="33"/>
      <c r="W123" s="37"/>
      <c r="X123" s="37"/>
      <c r="Y123" s="110"/>
      <c r="Z123" s="177"/>
      <c r="AA123" s="635" t="s">
        <v>214</v>
      </c>
      <c r="AB123" s="621" t="s">
        <v>595</v>
      </c>
      <c r="AC123" s="633"/>
      <c r="AD123" s="630">
        <v>0.7</v>
      </c>
      <c r="AE123" s="630">
        <v>0.1</v>
      </c>
      <c r="AF123" s="631">
        <f t="shared" si="75"/>
        <v>10.504000000000001</v>
      </c>
      <c r="AG123" s="630">
        <v>0.2</v>
      </c>
      <c r="AH123" s="630">
        <v>50</v>
      </c>
      <c r="AI123" s="628">
        <v>135</v>
      </c>
      <c r="AJ123" s="630">
        <v>0.04</v>
      </c>
      <c r="AK123" s="630">
        <v>0.2</v>
      </c>
      <c r="AL123" s="630">
        <v>0.13</v>
      </c>
      <c r="AM123" s="630">
        <v>0.02</v>
      </c>
      <c r="AN123" s="163" t="s">
        <v>397</v>
      </c>
      <c r="AO123" s="138">
        <f t="shared" si="76"/>
        <v>0</v>
      </c>
      <c r="AP123" s="173">
        <f t="shared" si="77"/>
        <v>0</v>
      </c>
      <c r="AQ123" s="162">
        <f t="shared" si="78"/>
        <v>0</v>
      </c>
      <c r="AR123" s="162">
        <f t="shared" si="79"/>
        <v>0</v>
      </c>
      <c r="AS123" s="162">
        <f t="shared" si="80"/>
        <v>0</v>
      </c>
      <c r="AT123" s="162">
        <f t="shared" si="81"/>
        <v>0</v>
      </c>
      <c r="AU123" s="161">
        <f t="shared" si="82"/>
        <v>0</v>
      </c>
      <c r="AV123" s="161">
        <f t="shared" si="83"/>
        <v>0</v>
      </c>
      <c r="AW123" s="161">
        <f t="shared" si="84"/>
        <v>0</v>
      </c>
      <c r="AX123" s="161">
        <f t="shared" si="85"/>
        <v>0</v>
      </c>
      <c r="AY123" s="161">
        <f t="shared" si="86"/>
        <v>0</v>
      </c>
      <c r="AZ123" s="165">
        <f t="shared" si="87"/>
        <v>0</v>
      </c>
    </row>
    <row r="124" spans="1:55" ht="14.25" customHeight="1">
      <c r="A124" s="37"/>
      <c r="B124" s="692">
        <v>0</v>
      </c>
      <c r="C124" s="494" t="str">
        <f t="shared" si="73"/>
        <v>RIBENA</v>
      </c>
      <c r="D124" s="285" t="str">
        <f t="shared" si="74"/>
        <v>CONC.</v>
      </c>
      <c r="E124" s="607"/>
      <c r="F124" s="618">
        <v>58</v>
      </c>
      <c r="G124" s="1274"/>
      <c r="H124" s="501"/>
      <c r="I124" s="270"/>
      <c r="J124" s="270"/>
      <c r="K124" s="270"/>
      <c r="L124" s="270"/>
      <c r="M124" s="270"/>
      <c r="N124" s="270"/>
      <c r="O124" s="270"/>
      <c r="P124" s="270"/>
      <c r="Q124" s="37"/>
      <c r="R124" s="37"/>
      <c r="S124" s="37"/>
      <c r="T124" s="917">
        <f t="shared" si="72"/>
        <v>6.25</v>
      </c>
      <c r="U124" s="919">
        <f t="shared" si="71"/>
        <v>19.6875</v>
      </c>
      <c r="V124" s="33"/>
      <c r="W124" s="37"/>
      <c r="X124" s="37"/>
      <c r="Y124" s="110"/>
      <c r="Z124" s="177"/>
      <c r="AA124" s="635" t="s">
        <v>214</v>
      </c>
      <c r="AB124" s="621" t="s">
        <v>235</v>
      </c>
      <c r="AC124" s="633"/>
      <c r="AD124" s="630">
        <v>1.9</v>
      </c>
      <c r="AE124" s="630">
        <v>0.5</v>
      </c>
      <c r="AF124" s="631">
        <f t="shared" si="75"/>
        <v>58.58</v>
      </c>
      <c r="AG124" s="630">
        <v>1</v>
      </c>
      <c r="AH124" s="630">
        <v>200</v>
      </c>
      <c r="AI124" s="630">
        <v>520</v>
      </c>
      <c r="AJ124" s="630">
        <f>5*AJ123</f>
        <v>0.2</v>
      </c>
      <c r="AK124" s="630">
        <f>5*AK123</f>
        <v>1</v>
      </c>
      <c r="AL124" s="630">
        <f>5*AL123</f>
        <v>0.65</v>
      </c>
      <c r="AM124" s="630">
        <f>5*AM123</f>
        <v>0.1</v>
      </c>
      <c r="AN124" s="163" t="s">
        <v>397</v>
      </c>
      <c r="AO124" s="138">
        <f t="shared" si="76"/>
        <v>0</v>
      </c>
      <c r="AP124" s="173">
        <f t="shared" si="77"/>
        <v>0</v>
      </c>
      <c r="AQ124" s="162">
        <f t="shared" si="78"/>
        <v>0</v>
      </c>
      <c r="AR124" s="162">
        <f t="shared" si="79"/>
        <v>0</v>
      </c>
      <c r="AS124" s="162">
        <f t="shared" si="80"/>
        <v>0</v>
      </c>
      <c r="AT124" s="162">
        <f t="shared" si="81"/>
        <v>0</v>
      </c>
      <c r="AU124" s="161">
        <f t="shared" si="82"/>
        <v>0</v>
      </c>
      <c r="AV124" s="161">
        <f t="shared" si="83"/>
        <v>0</v>
      </c>
      <c r="AW124" s="161">
        <f t="shared" si="84"/>
        <v>0</v>
      </c>
      <c r="AX124" s="161">
        <f t="shared" si="85"/>
        <v>0</v>
      </c>
      <c r="AY124" s="161">
        <f t="shared" si="86"/>
        <v>0</v>
      </c>
      <c r="AZ124" s="165">
        <f t="shared" si="87"/>
        <v>0</v>
      </c>
      <c r="BA124" s="246"/>
      <c r="BB124" s="139"/>
      <c r="BC124" s="139"/>
    </row>
    <row r="125" spans="1:55" ht="14.25" customHeight="1">
      <c r="A125" s="37"/>
      <c r="B125" s="692">
        <v>0</v>
      </c>
      <c r="C125" s="494" t="str">
        <f t="shared" si="73"/>
        <v>SUMMER FRUITS</v>
      </c>
      <c r="D125" s="285" t="str">
        <f t="shared" si="74"/>
        <v>CONC.</v>
      </c>
      <c r="E125" s="607"/>
      <c r="F125" s="618">
        <v>50</v>
      </c>
      <c r="G125" s="1274"/>
      <c r="H125" s="1280" t="s">
        <v>648</v>
      </c>
      <c r="I125" s="1280"/>
      <c r="J125" s="1271" t="s">
        <v>608</v>
      </c>
      <c r="K125" s="1271"/>
      <c r="L125" s="1271"/>
      <c r="M125" s="1271"/>
      <c r="N125" s="1271"/>
      <c r="O125" s="1271"/>
      <c r="P125" s="1271"/>
      <c r="Q125" s="1271"/>
      <c r="R125" s="1271"/>
      <c r="S125" s="37"/>
      <c r="T125" s="920">
        <v>56</v>
      </c>
      <c r="U125" s="536">
        <f t="shared" si="71"/>
        <v>176.4</v>
      </c>
      <c r="V125" s="33"/>
      <c r="W125" s="37"/>
      <c r="X125" s="37"/>
      <c r="Y125" s="110"/>
      <c r="Z125" s="177"/>
      <c r="AA125" s="635" t="s">
        <v>215</v>
      </c>
      <c r="AB125" s="621" t="s">
        <v>235</v>
      </c>
      <c r="AC125" s="633"/>
      <c r="AD125" s="630">
        <v>1.5</v>
      </c>
      <c r="AE125" s="630">
        <v>0.2</v>
      </c>
      <c r="AF125" s="631">
        <f t="shared" si="75"/>
        <v>50.5</v>
      </c>
      <c r="AG125" s="630">
        <v>1</v>
      </c>
      <c r="AH125" s="630">
        <v>200</v>
      </c>
      <c r="AI125" s="630">
        <v>520</v>
      </c>
      <c r="AJ125" s="630">
        <v>0.2</v>
      </c>
      <c r="AK125" s="630">
        <v>1</v>
      </c>
      <c r="AL125" s="630">
        <v>0.65</v>
      </c>
      <c r="AM125" s="630">
        <v>0.1</v>
      </c>
      <c r="AN125" s="163"/>
      <c r="AO125" s="138">
        <f t="shared" si="76"/>
        <v>0</v>
      </c>
      <c r="AP125" s="173">
        <f t="shared" si="77"/>
        <v>0</v>
      </c>
      <c r="AQ125" s="162">
        <f t="shared" si="78"/>
        <v>0</v>
      </c>
      <c r="AR125" s="162">
        <f t="shared" si="79"/>
        <v>0</v>
      </c>
      <c r="AS125" s="162">
        <f t="shared" si="80"/>
        <v>0</v>
      </c>
      <c r="AT125" s="162">
        <f t="shared" si="81"/>
        <v>0</v>
      </c>
      <c r="AU125" s="161">
        <f t="shared" si="82"/>
        <v>0</v>
      </c>
      <c r="AV125" s="161">
        <f t="shared" si="83"/>
        <v>0</v>
      </c>
      <c r="AW125" s="161">
        <f t="shared" si="84"/>
        <v>0</v>
      </c>
      <c r="AX125" s="161">
        <f t="shared" si="85"/>
        <v>0</v>
      </c>
      <c r="AY125" s="161">
        <f t="shared" si="86"/>
        <v>0</v>
      </c>
      <c r="AZ125" s="165">
        <f t="shared" si="87"/>
        <v>0</v>
      </c>
      <c r="BA125" s="246"/>
      <c r="BB125" s="139"/>
      <c r="BC125" s="139"/>
    </row>
    <row r="126" spans="1:55" ht="14.25" customHeight="1">
      <c r="A126" s="37"/>
      <c r="B126" s="692">
        <v>0</v>
      </c>
      <c r="C126" s="494" t="str">
        <f t="shared" si="73"/>
        <v>PINEAPPLE</v>
      </c>
      <c r="D126" s="285" t="str">
        <f t="shared" si="74"/>
        <v>-</v>
      </c>
      <c r="E126" s="607"/>
      <c r="F126" s="618">
        <v>13</v>
      </c>
      <c r="G126" s="1274"/>
      <c r="H126" s="504"/>
      <c r="I126" s="503"/>
      <c r="J126" s="1271"/>
      <c r="K126" s="1271"/>
      <c r="L126" s="1271"/>
      <c r="M126" s="1271"/>
      <c r="N126" s="1271"/>
      <c r="O126" s="1271"/>
      <c r="P126" s="1271"/>
      <c r="Q126" s="1271"/>
      <c r="R126" s="1271"/>
      <c r="S126" s="37"/>
      <c r="T126" s="201"/>
      <c r="U126" s="201"/>
      <c r="V126" s="201"/>
      <c r="W126" s="37"/>
      <c r="X126" s="37"/>
      <c r="Y126" s="110"/>
      <c r="Z126" s="177"/>
      <c r="AA126" s="635" t="s">
        <v>189</v>
      </c>
      <c r="AB126" s="621" t="s">
        <v>595</v>
      </c>
      <c r="AC126" s="633"/>
      <c r="AD126" s="628">
        <v>0.8</v>
      </c>
      <c r="AE126" s="630">
        <v>0.01</v>
      </c>
      <c r="AF126" s="631">
        <f t="shared" si="75"/>
        <v>13.13</v>
      </c>
      <c r="AG126" s="630">
        <v>0.2</v>
      </c>
      <c r="AH126" s="630">
        <v>50</v>
      </c>
      <c r="AI126" s="630">
        <v>130</v>
      </c>
      <c r="AJ126" s="628">
        <v>0.06</v>
      </c>
      <c r="AK126" s="628">
        <v>0.2</v>
      </c>
      <c r="AL126" s="628">
        <v>0.056</v>
      </c>
      <c r="AM126" s="628">
        <v>0.1</v>
      </c>
      <c r="AN126" s="163" t="s">
        <v>397</v>
      </c>
      <c r="AO126" s="138">
        <f t="shared" si="76"/>
        <v>0</v>
      </c>
      <c r="AP126" s="173">
        <f t="shared" si="77"/>
        <v>0</v>
      </c>
      <c r="AQ126" s="162">
        <f t="shared" si="78"/>
        <v>0</v>
      </c>
      <c r="AR126" s="162">
        <f t="shared" si="79"/>
        <v>0</v>
      </c>
      <c r="AS126" s="162">
        <f t="shared" si="80"/>
        <v>0</v>
      </c>
      <c r="AT126" s="162">
        <f t="shared" si="81"/>
        <v>0</v>
      </c>
      <c r="AU126" s="161">
        <f t="shared" si="82"/>
        <v>0</v>
      </c>
      <c r="AV126" s="161">
        <f t="shared" si="83"/>
        <v>0</v>
      </c>
      <c r="AW126" s="161">
        <f t="shared" si="84"/>
        <v>0</v>
      </c>
      <c r="AX126" s="161">
        <f t="shared" si="85"/>
        <v>0</v>
      </c>
      <c r="AY126" s="161">
        <f t="shared" si="86"/>
        <v>0</v>
      </c>
      <c r="AZ126" s="165">
        <f t="shared" si="87"/>
        <v>0</v>
      </c>
      <c r="BA126" s="246"/>
      <c r="BB126" s="139"/>
      <c r="BC126" s="139"/>
    </row>
    <row r="127" spans="1:55" ht="14.25" customHeight="1">
      <c r="A127" s="37"/>
      <c r="B127" s="692">
        <v>0</v>
      </c>
      <c r="C127" s="494" t="str">
        <f t="shared" si="73"/>
        <v>PRUNE</v>
      </c>
      <c r="D127" s="285" t="str">
        <f t="shared" si="74"/>
        <v>-</v>
      </c>
      <c r="E127" s="607"/>
      <c r="F127" s="618">
        <v>13</v>
      </c>
      <c r="G127" s="1274"/>
      <c r="H127" s="270"/>
      <c r="I127" s="270"/>
      <c r="J127" s="270"/>
      <c r="K127" s="270"/>
      <c r="L127" s="270"/>
      <c r="M127" s="270"/>
      <c r="N127" s="270"/>
      <c r="O127" s="270"/>
      <c r="P127" s="270"/>
      <c r="Q127" s="37"/>
      <c r="R127" s="37"/>
      <c r="S127" s="37"/>
      <c r="T127" s="1267" t="s">
        <v>355</v>
      </c>
      <c r="U127" s="1267"/>
      <c r="V127" s="1267"/>
      <c r="W127" s="37"/>
      <c r="X127" s="37"/>
      <c r="Y127" s="110"/>
      <c r="Z127" s="177"/>
      <c r="AA127" s="635" t="s">
        <v>216</v>
      </c>
      <c r="AB127" s="621" t="s">
        <v>595</v>
      </c>
      <c r="AC127" s="633"/>
      <c r="AD127" s="630">
        <v>0.5</v>
      </c>
      <c r="AE127" s="630">
        <v>0.01</v>
      </c>
      <c r="AF127" s="631">
        <f>F127*1.3</f>
        <v>16.900000000000002</v>
      </c>
      <c r="AG127" s="630">
        <v>1.2</v>
      </c>
      <c r="AH127" s="630">
        <v>50</v>
      </c>
      <c r="AI127" s="628">
        <v>276</v>
      </c>
      <c r="AJ127" s="628">
        <v>0.016</v>
      </c>
      <c r="AK127" s="628">
        <v>0.785</v>
      </c>
      <c r="AL127" s="628">
        <v>0.107</v>
      </c>
      <c r="AM127" s="628">
        <v>0.218</v>
      </c>
      <c r="AN127" s="163" t="s">
        <v>396</v>
      </c>
      <c r="AO127" s="138">
        <f t="shared" si="76"/>
        <v>0</v>
      </c>
      <c r="AP127" s="173">
        <f t="shared" si="77"/>
        <v>0</v>
      </c>
      <c r="AQ127" s="162">
        <f t="shared" si="78"/>
        <v>0</v>
      </c>
      <c r="AR127" s="162">
        <f t="shared" si="79"/>
        <v>0</v>
      </c>
      <c r="AS127" s="162">
        <f t="shared" si="80"/>
        <v>0</v>
      </c>
      <c r="AT127" s="162">
        <f t="shared" si="81"/>
        <v>0</v>
      </c>
      <c r="AU127" s="161">
        <f t="shared" si="82"/>
        <v>0</v>
      </c>
      <c r="AV127" s="161">
        <f t="shared" si="83"/>
        <v>0</v>
      </c>
      <c r="AW127" s="161">
        <f t="shared" si="84"/>
        <v>0</v>
      </c>
      <c r="AX127" s="161">
        <f t="shared" si="85"/>
        <v>0</v>
      </c>
      <c r="AY127" s="161">
        <f t="shared" si="86"/>
        <v>0</v>
      </c>
      <c r="AZ127" s="165">
        <f t="shared" si="87"/>
        <v>0</v>
      </c>
      <c r="BA127" s="246"/>
      <c r="BB127" s="139"/>
      <c r="BC127" s="139"/>
    </row>
    <row r="128" spans="1:55" ht="14.25" customHeight="1">
      <c r="A128" s="37"/>
      <c r="B128" s="693">
        <v>0</v>
      </c>
      <c r="C128" s="494" t="str">
        <f t="shared" si="73"/>
        <v>OTHER </v>
      </c>
      <c r="D128" s="285" t="str">
        <f t="shared" si="74"/>
        <v>-</v>
      </c>
      <c r="E128" s="617"/>
      <c r="F128" s="619"/>
      <c r="G128" s="1274"/>
      <c r="H128" s="270"/>
      <c r="I128" s="270"/>
      <c r="J128" s="270"/>
      <c r="K128" s="270"/>
      <c r="L128" s="270"/>
      <c r="M128" s="270"/>
      <c r="N128" s="270"/>
      <c r="O128" s="270"/>
      <c r="P128" s="270"/>
      <c r="Q128" s="1080" t="s">
        <v>340</v>
      </c>
      <c r="R128" s="1080"/>
      <c r="S128" s="1080"/>
      <c r="T128" s="1073" t="s">
        <v>3</v>
      </c>
      <c r="U128" s="1073"/>
      <c r="V128" s="1073"/>
      <c r="W128" s="37"/>
      <c r="X128" s="37"/>
      <c r="Y128" s="110"/>
      <c r="Z128" s="177"/>
      <c r="AA128" s="635" t="s">
        <v>217</v>
      </c>
      <c r="AB128" s="621" t="s">
        <v>595</v>
      </c>
      <c r="AC128" s="633"/>
      <c r="AD128" s="628">
        <v>0</v>
      </c>
      <c r="AE128" s="628">
        <v>0</v>
      </c>
      <c r="AF128" s="628">
        <v>0</v>
      </c>
      <c r="AG128" s="628">
        <v>0</v>
      </c>
      <c r="AH128" s="628">
        <v>0</v>
      </c>
      <c r="AI128" s="628">
        <v>0</v>
      </c>
      <c r="AJ128" s="628">
        <v>0</v>
      </c>
      <c r="AK128" s="628">
        <v>0</v>
      </c>
      <c r="AL128" s="628">
        <v>0</v>
      </c>
      <c r="AM128" s="628">
        <v>0</v>
      </c>
      <c r="AN128" s="893"/>
      <c r="AO128" s="138">
        <f t="shared" si="76"/>
        <v>0</v>
      </c>
      <c r="AP128" s="173">
        <f t="shared" si="77"/>
        <v>0</v>
      </c>
      <c r="AQ128" s="174">
        <f t="shared" si="78"/>
        <v>0</v>
      </c>
      <c r="AR128" s="174">
        <f t="shared" si="79"/>
        <v>0</v>
      </c>
      <c r="AS128" s="162">
        <f t="shared" si="80"/>
        <v>0</v>
      </c>
      <c r="AT128" s="174">
        <f t="shared" si="81"/>
        <v>0</v>
      </c>
      <c r="AU128" s="175">
        <f t="shared" si="82"/>
        <v>0</v>
      </c>
      <c r="AV128" s="175">
        <f t="shared" si="83"/>
        <v>0</v>
      </c>
      <c r="AW128" s="175">
        <f t="shared" si="84"/>
        <v>0</v>
      </c>
      <c r="AX128" s="175">
        <f t="shared" si="85"/>
        <v>0</v>
      </c>
      <c r="AY128" s="175">
        <f t="shared" si="86"/>
        <v>0</v>
      </c>
      <c r="AZ128" s="176">
        <f t="shared" si="87"/>
        <v>0</v>
      </c>
      <c r="BA128" s="246"/>
      <c r="BB128" s="139"/>
      <c r="BC128" s="139"/>
    </row>
    <row r="129" spans="1:55" ht="14.25" customHeight="1">
      <c r="A129" s="37"/>
      <c r="B129" s="1264" t="s">
        <v>718</v>
      </c>
      <c r="C129" s="1264"/>
      <c r="D129" s="1264"/>
      <c r="E129" s="1264"/>
      <c r="F129" s="1264"/>
      <c r="H129" s="270"/>
      <c r="I129" s="270"/>
      <c r="J129" s="270"/>
      <c r="K129" s="270"/>
      <c r="L129" s="270"/>
      <c r="M129" s="270"/>
      <c r="N129" s="270"/>
      <c r="O129" s="270"/>
      <c r="P129" s="501"/>
      <c r="Q129" s="1080" t="s">
        <v>122</v>
      </c>
      <c r="R129" s="1080"/>
      <c r="S129" s="1080"/>
      <c r="T129" s="1269" t="s">
        <v>15</v>
      </c>
      <c r="U129" s="1269"/>
      <c r="V129" s="1269"/>
      <c r="W129" s="37"/>
      <c r="X129" s="37"/>
      <c r="Y129" s="110"/>
      <c r="Z129" s="177"/>
      <c r="AA129" s="636"/>
      <c r="AB129" s="636"/>
      <c r="AC129" s="680"/>
      <c r="AD129" s="640"/>
      <c r="AE129" s="640"/>
      <c r="AF129" s="640"/>
      <c r="AG129" s="640"/>
      <c r="AH129" s="640"/>
      <c r="AI129" s="640"/>
      <c r="AJ129" s="640"/>
      <c r="AK129" s="640"/>
      <c r="AL129" s="640"/>
      <c r="AM129" s="640"/>
      <c r="AN129" s="143"/>
      <c r="AO129" s="153"/>
      <c r="AP129" s="143"/>
      <c r="AQ129" s="154"/>
      <c r="AR129" s="154"/>
      <c r="AS129" s="154"/>
      <c r="AT129" s="154"/>
      <c r="AU129" s="143"/>
      <c r="AV129" s="143"/>
      <c r="AW129" s="143"/>
      <c r="AX129" s="143"/>
      <c r="AY129" s="143"/>
      <c r="AZ129" s="143"/>
      <c r="BA129" s="143"/>
      <c r="BB129" s="679"/>
      <c r="BC129" s="679"/>
    </row>
    <row r="130" spans="1:55" ht="14.25" customHeight="1">
      <c r="A130" s="37"/>
      <c r="B130" s="1265"/>
      <c r="C130" s="1265"/>
      <c r="D130" s="1265"/>
      <c r="E130" s="1265"/>
      <c r="F130" s="1265"/>
      <c r="G130" s="505"/>
      <c r="H130" s="1266" t="s">
        <v>659</v>
      </c>
      <c r="I130" s="1266"/>
      <c r="J130" s="1266"/>
      <c r="K130" s="1266"/>
      <c r="L130" s="1266"/>
      <c r="M130" s="1266"/>
      <c r="N130" s="1266"/>
      <c r="O130" s="1266"/>
      <c r="P130" s="502"/>
      <c r="Q130" s="1226" t="s">
        <v>341</v>
      </c>
      <c r="R130" s="1226"/>
      <c r="S130" s="1226"/>
      <c r="T130" s="1270" t="s">
        <v>13</v>
      </c>
      <c r="U130" s="1270"/>
      <c r="V130" s="1270"/>
      <c r="W130" s="37"/>
      <c r="X130" s="37"/>
      <c r="Y130" s="110"/>
      <c r="Z130" s="177"/>
      <c r="AA130" s="636"/>
      <c r="AB130" s="636"/>
      <c r="AC130" s="680"/>
      <c r="AD130" s="640"/>
      <c r="AE130" s="640"/>
      <c r="AF130" s="640"/>
      <c r="AG130" s="640"/>
      <c r="AH130" s="640"/>
      <c r="AI130" s="640"/>
      <c r="AJ130" s="640"/>
      <c r="AK130" s="640"/>
      <c r="AL130" s="640"/>
      <c r="AM130" s="640"/>
      <c r="AN130" s="143"/>
      <c r="AO130" s="151"/>
      <c r="AP130" s="151"/>
      <c r="AQ130" s="151"/>
      <c r="AR130" s="151"/>
      <c r="AS130" s="151"/>
      <c r="AT130" s="151"/>
      <c r="AU130" s="151"/>
      <c r="AV130" s="151"/>
      <c r="AW130" s="151"/>
      <c r="AX130" s="151"/>
      <c r="AY130" s="151"/>
      <c r="AZ130" s="151"/>
      <c r="BA130" s="143"/>
      <c r="BB130" s="679"/>
      <c r="BC130" s="679"/>
    </row>
    <row r="131" spans="1:55" ht="14.25" customHeight="1">
      <c r="A131" s="37"/>
      <c r="B131" s="406"/>
      <c r="C131" s="406"/>
      <c r="D131" s="406"/>
      <c r="E131" s="406"/>
      <c r="F131" s="505"/>
      <c r="G131" s="505"/>
      <c r="H131" s="457"/>
      <c r="I131" s="457"/>
      <c r="J131" s="457"/>
      <c r="K131" s="457"/>
      <c r="L131" s="457"/>
      <c r="M131" s="457"/>
      <c r="N131" s="457"/>
      <c r="O131" s="457"/>
      <c r="P131" s="457"/>
      <c r="Q131" s="459"/>
      <c r="R131" s="459"/>
      <c r="S131" s="459"/>
      <c r="T131" s="458"/>
      <c r="U131" s="458"/>
      <c r="V131" s="458"/>
      <c r="W131" s="37"/>
      <c r="X131" s="37"/>
      <c r="Y131" s="110"/>
      <c r="Z131" s="177"/>
      <c r="AA131" s="636"/>
      <c r="AB131" s="636"/>
      <c r="AC131" s="680"/>
      <c r="AD131" s="640"/>
      <c r="AE131" s="640"/>
      <c r="AF131" s="640"/>
      <c r="AG131" s="640"/>
      <c r="AH131" s="640"/>
      <c r="AI131" s="640"/>
      <c r="AJ131" s="640"/>
      <c r="AK131" s="640"/>
      <c r="AL131" s="640"/>
      <c r="AM131" s="640"/>
      <c r="AN131" s="143"/>
      <c r="AO131" s="151"/>
      <c r="AP131" s="151"/>
      <c r="AQ131" s="151"/>
      <c r="AR131" s="151"/>
      <c r="AS131" s="151"/>
      <c r="AT131" s="151"/>
      <c r="AU131" s="151"/>
      <c r="AV131" s="151"/>
      <c r="AW131" s="151"/>
      <c r="AX131" s="151"/>
      <c r="AY131" s="151"/>
      <c r="AZ131" s="151"/>
      <c r="BA131" s="143"/>
      <c r="BB131" s="679"/>
      <c r="BC131" s="679"/>
    </row>
    <row r="132" spans="1:55" ht="14.25" customHeight="1">
      <c r="A132" s="37"/>
      <c r="B132" s="1244" t="s">
        <v>147</v>
      </c>
      <c r="C132" s="1248" t="s">
        <v>218</v>
      </c>
      <c r="D132" s="1249"/>
      <c r="E132" s="378" t="s">
        <v>236</v>
      </c>
      <c r="F132" s="461"/>
      <c r="G132" s="501"/>
      <c r="H132" s="501"/>
      <c r="I132" s="506"/>
      <c r="J132" s="506"/>
      <c r="K132" s="506"/>
      <c r="L132" s="506"/>
      <c r="M132" s="506"/>
      <c r="N132" s="506"/>
      <c r="O132" s="506"/>
      <c r="P132" s="506"/>
      <c r="Q132" s="273"/>
      <c r="R132" s="273"/>
      <c r="S132" s="273"/>
      <c r="T132" s="1268" t="s">
        <v>350</v>
      </c>
      <c r="U132" s="465"/>
      <c r="V132" s="33"/>
      <c r="W132" s="37"/>
      <c r="X132" s="37"/>
      <c r="Y132" s="110"/>
      <c r="Z132" s="177"/>
      <c r="AA132" s="639"/>
      <c r="AB132" s="639"/>
      <c r="AC132" s="638"/>
      <c r="AD132" s="638"/>
      <c r="AE132" s="638"/>
      <c r="AF132" s="638"/>
      <c r="AG132" s="638"/>
      <c r="AH132" s="638"/>
      <c r="AI132" s="638"/>
      <c r="AJ132" s="638"/>
      <c r="AK132" s="638"/>
      <c r="AL132" s="638"/>
      <c r="AM132" s="638"/>
      <c r="AN132" s="143"/>
      <c r="AO132" s="925" t="s">
        <v>401</v>
      </c>
      <c r="AP132" s="170" t="s">
        <v>244</v>
      </c>
      <c r="AQ132" s="171" t="s">
        <v>310</v>
      </c>
      <c r="AR132" s="171" t="s">
        <v>316</v>
      </c>
      <c r="AS132" s="171" t="s">
        <v>318</v>
      </c>
      <c r="AT132" s="171" t="s">
        <v>329</v>
      </c>
      <c r="AU132" s="170" t="s">
        <v>319</v>
      </c>
      <c r="AV132" s="170" t="s">
        <v>330</v>
      </c>
      <c r="AW132" s="170" t="s">
        <v>333</v>
      </c>
      <c r="AX132" s="170" t="s">
        <v>339</v>
      </c>
      <c r="AY132" s="170" t="s">
        <v>343</v>
      </c>
      <c r="AZ132" s="170" t="s">
        <v>349</v>
      </c>
      <c r="BA132" s="143"/>
      <c r="BB132" s="679"/>
      <c r="BC132" s="679"/>
    </row>
    <row r="133" spans="1:55" ht="14.25" customHeight="1">
      <c r="A133" s="37"/>
      <c r="B133" s="1245"/>
      <c r="C133" s="1284"/>
      <c r="D133" s="1285"/>
      <c r="E133" s="379" t="s">
        <v>43</v>
      </c>
      <c r="F133" s="461"/>
      <c r="G133" s="461"/>
      <c r="H133" s="501"/>
      <c r="I133" s="506"/>
      <c r="J133" s="506"/>
      <c r="K133" s="506"/>
      <c r="L133" s="506"/>
      <c r="M133" s="506"/>
      <c r="N133" s="506"/>
      <c r="O133" s="506"/>
      <c r="P133" s="506"/>
      <c r="Q133" s="273"/>
      <c r="R133" s="273"/>
      <c r="S133" s="273"/>
      <c r="T133" s="1268"/>
      <c r="U133" s="465"/>
      <c r="V133" s="33"/>
      <c r="W133" s="37"/>
      <c r="X133" s="37"/>
      <c r="Y133" s="110"/>
      <c r="Z133" s="177"/>
      <c r="AA133" s="1263" t="s">
        <v>682</v>
      </c>
      <c r="AB133" s="1263"/>
      <c r="AC133" s="1263"/>
      <c r="AD133" s="1263"/>
      <c r="AE133" s="1263"/>
      <c r="AF133" s="1263"/>
      <c r="AG133" s="1263"/>
      <c r="AH133" s="1263"/>
      <c r="AI133" s="1263"/>
      <c r="AJ133" s="1263"/>
      <c r="AK133" s="1263"/>
      <c r="AL133" s="1263"/>
      <c r="AM133" s="1263"/>
      <c r="AN133" s="161"/>
      <c r="AO133" s="925"/>
      <c r="AP133" s="170" t="s">
        <v>43</v>
      </c>
      <c r="AQ133" s="170" t="s">
        <v>43</v>
      </c>
      <c r="AR133" s="170" t="s">
        <v>43</v>
      </c>
      <c r="AS133" s="170" t="s">
        <v>43</v>
      </c>
      <c r="AT133" s="170" t="s">
        <v>43</v>
      </c>
      <c r="AU133" s="170" t="s">
        <v>43</v>
      </c>
      <c r="AV133" s="170" t="s">
        <v>43</v>
      </c>
      <c r="AW133" s="170" t="s">
        <v>43</v>
      </c>
      <c r="AX133" s="170" t="s">
        <v>43</v>
      </c>
      <c r="AY133" s="170" t="s">
        <v>43</v>
      </c>
      <c r="AZ133" s="170" t="s">
        <v>43</v>
      </c>
      <c r="BA133" s="246"/>
      <c r="BB133" s="139"/>
      <c r="BC133" s="139"/>
    </row>
    <row r="134" spans="1:55" ht="14.25" customHeight="1">
      <c r="A134" s="37"/>
      <c r="B134" s="922">
        <v>0.14</v>
      </c>
      <c r="C134" s="836" t="str">
        <f aca="true" t="shared" si="88" ref="C134:D140">AA134</f>
        <v>BEETROOT</v>
      </c>
      <c r="D134" s="837" t="str">
        <f t="shared" si="88"/>
        <v>-</v>
      </c>
      <c r="E134" s="607"/>
      <c r="F134" s="461"/>
      <c r="G134" s="461"/>
      <c r="H134" s="501"/>
      <c r="I134" s="270"/>
      <c r="J134" s="270"/>
      <c r="K134" s="270"/>
      <c r="L134" s="270"/>
      <c r="M134" s="270"/>
      <c r="N134" s="270"/>
      <c r="O134" s="501"/>
      <c r="P134" s="501"/>
      <c r="Q134" s="273"/>
      <c r="R134" s="273"/>
      <c r="S134" s="273"/>
      <c r="T134" s="1268"/>
      <c r="U134" s="465"/>
      <c r="V134" s="33"/>
      <c r="W134" s="37"/>
      <c r="X134" s="37"/>
      <c r="Y134" s="110"/>
      <c r="Z134" s="177"/>
      <c r="AA134" s="635" t="s">
        <v>219</v>
      </c>
      <c r="AB134" s="621" t="s">
        <v>595</v>
      </c>
      <c r="AC134" s="628">
        <v>6.8</v>
      </c>
      <c r="AD134" s="628">
        <v>0.2</v>
      </c>
      <c r="AE134" s="630">
        <v>0.01</v>
      </c>
      <c r="AF134" s="628">
        <v>9.6</v>
      </c>
      <c r="AG134" s="628">
        <v>0.4</v>
      </c>
      <c r="AH134" s="630">
        <v>1300</v>
      </c>
      <c r="AI134" s="628">
        <v>300</v>
      </c>
      <c r="AJ134" s="628">
        <v>0.031</v>
      </c>
      <c r="AK134" s="628">
        <v>0.334</v>
      </c>
      <c r="AL134" s="628">
        <v>0.155</v>
      </c>
      <c r="AM134" s="628">
        <v>0.067</v>
      </c>
      <c r="AN134" s="159"/>
      <c r="AO134" s="138">
        <f aca="true" t="shared" si="89" ref="AO134:AO140">B134*E134</f>
        <v>0</v>
      </c>
      <c r="AP134" s="162">
        <f>E134*AC134/100</f>
        <v>0</v>
      </c>
      <c r="AQ134" s="162">
        <f aca="true" t="shared" si="90" ref="AQ134:AQ139">E134*AD134/100</f>
        <v>0</v>
      </c>
      <c r="AR134" s="162">
        <f>E134*AE134/100</f>
        <v>0</v>
      </c>
      <c r="AS134" s="162">
        <f aca="true" t="shared" si="91" ref="AS134:AS140">E134*(AF134-AC134)/100</f>
        <v>0</v>
      </c>
      <c r="AT134" s="162">
        <f aca="true" t="shared" si="92" ref="AT134:AT140">E134*AG134/1200</f>
        <v>0</v>
      </c>
      <c r="AU134" s="162">
        <f aca="true" t="shared" si="93" ref="AU134:AU140">E134*AH134/1200</f>
        <v>0</v>
      </c>
      <c r="AV134" s="162">
        <f aca="true" t="shared" si="94" ref="AV134:AV140">E134*AI134/1200</f>
        <v>0</v>
      </c>
      <c r="AW134" s="161">
        <f aca="true" t="shared" si="95" ref="AW134:AZ140">$E134*AJ134/100</f>
        <v>0</v>
      </c>
      <c r="AX134" s="161">
        <f t="shared" si="95"/>
        <v>0</v>
      </c>
      <c r="AY134" s="161">
        <f t="shared" si="95"/>
        <v>0</v>
      </c>
      <c r="AZ134" s="161">
        <f t="shared" si="95"/>
        <v>0</v>
      </c>
      <c r="BA134" s="246"/>
      <c r="BB134" s="139"/>
      <c r="BC134" s="139"/>
    </row>
    <row r="135" spans="1:55" ht="14.25" customHeight="1">
      <c r="A135" s="37"/>
      <c r="B135" s="922">
        <v>0.1</v>
      </c>
      <c r="C135" s="494" t="str">
        <f t="shared" si="88"/>
        <v>CARROT</v>
      </c>
      <c r="D135" s="838" t="str">
        <f t="shared" si="88"/>
        <v>-</v>
      </c>
      <c r="E135" s="607"/>
      <c r="F135" s="461"/>
      <c r="G135" s="461"/>
      <c r="H135" s="501"/>
      <c r="I135" s="270"/>
      <c r="J135" s="270"/>
      <c r="K135" s="270"/>
      <c r="L135" s="270"/>
      <c r="M135" s="270"/>
      <c r="N135" s="270"/>
      <c r="O135" s="501"/>
      <c r="P135" s="501"/>
      <c r="Q135" s="273"/>
      <c r="R135" s="273"/>
      <c r="S135" s="273"/>
      <c r="T135" s="1268"/>
      <c r="U135" s="465"/>
      <c r="V135" s="33"/>
      <c r="W135" s="37"/>
      <c r="X135" s="37"/>
      <c r="Y135" s="110"/>
      <c r="Z135" s="177"/>
      <c r="AA135" s="635" t="s">
        <v>220</v>
      </c>
      <c r="AB135" s="621" t="s">
        <v>595</v>
      </c>
      <c r="AC135" s="628">
        <v>6.5</v>
      </c>
      <c r="AD135" s="628">
        <v>0.06</v>
      </c>
      <c r="AE135" s="630">
        <v>0.01</v>
      </c>
      <c r="AF135" s="628">
        <v>9.6</v>
      </c>
      <c r="AG135" s="628">
        <v>1.8</v>
      </c>
      <c r="AH135" s="630">
        <v>1300</v>
      </c>
      <c r="AI135" s="628">
        <v>400</v>
      </c>
      <c r="AJ135" s="628">
        <v>0.07</v>
      </c>
      <c r="AK135" s="628">
        <v>0.98</v>
      </c>
      <c r="AL135" s="628">
        <v>0.273</v>
      </c>
      <c r="AM135" s="628">
        <v>0.14</v>
      </c>
      <c r="AN135" s="159"/>
      <c r="AO135" s="138">
        <f t="shared" si="89"/>
        <v>0</v>
      </c>
      <c r="AP135" s="162">
        <f aca="true" t="shared" si="96" ref="AP135:AP140">E135*AC135/100</f>
        <v>0</v>
      </c>
      <c r="AQ135" s="162">
        <f t="shared" si="90"/>
        <v>0</v>
      </c>
      <c r="AR135" s="162">
        <f aca="true" t="shared" si="97" ref="AR135:AR140">E135*AE135/100</f>
        <v>0</v>
      </c>
      <c r="AS135" s="162">
        <f t="shared" si="91"/>
        <v>0</v>
      </c>
      <c r="AT135" s="162">
        <f t="shared" si="92"/>
        <v>0</v>
      </c>
      <c r="AU135" s="162">
        <f t="shared" si="93"/>
        <v>0</v>
      </c>
      <c r="AV135" s="162">
        <f t="shared" si="94"/>
        <v>0</v>
      </c>
      <c r="AW135" s="161">
        <f t="shared" si="95"/>
        <v>0</v>
      </c>
      <c r="AX135" s="161">
        <f t="shared" si="95"/>
        <v>0</v>
      </c>
      <c r="AY135" s="161">
        <f t="shared" si="95"/>
        <v>0</v>
      </c>
      <c r="AZ135" s="161">
        <f t="shared" si="95"/>
        <v>0</v>
      </c>
      <c r="BB135" s="139"/>
      <c r="BC135" s="139"/>
    </row>
    <row r="136" spans="1:55" ht="14.25" customHeight="1">
      <c r="A136" s="37"/>
      <c r="B136" s="923">
        <v>0.08</v>
      </c>
      <c r="C136" s="494" t="str">
        <f t="shared" si="88"/>
        <v>CELERY</v>
      </c>
      <c r="D136" s="838" t="str">
        <f t="shared" si="88"/>
        <v>-</v>
      </c>
      <c r="E136" s="607"/>
      <c r="F136" s="461"/>
      <c r="G136" s="461"/>
      <c r="H136" s="501"/>
      <c r="I136" s="270"/>
      <c r="J136" s="270"/>
      <c r="K136" s="270"/>
      <c r="L136" s="270"/>
      <c r="M136" s="270"/>
      <c r="N136" s="270"/>
      <c r="O136" s="501"/>
      <c r="P136" s="501"/>
      <c r="Q136" s="273"/>
      <c r="R136" s="273"/>
      <c r="S136" s="273"/>
      <c r="T136" s="1268"/>
      <c r="U136" s="465"/>
      <c r="V136" s="33"/>
      <c r="W136" s="37"/>
      <c r="X136" s="37"/>
      <c r="Y136" s="110"/>
      <c r="Z136" s="177"/>
      <c r="AA136" s="635" t="s">
        <v>221</v>
      </c>
      <c r="AB136" s="621" t="s">
        <v>595</v>
      </c>
      <c r="AC136" s="628">
        <v>1.8</v>
      </c>
      <c r="AD136" s="630">
        <v>0.1</v>
      </c>
      <c r="AE136" s="630">
        <v>0.01</v>
      </c>
      <c r="AF136" s="629">
        <v>3</v>
      </c>
      <c r="AG136" s="630">
        <v>1</v>
      </c>
      <c r="AH136" s="630">
        <v>1000</v>
      </c>
      <c r="AI136" s="628">
        <v>260</v>
      </c>
      <c r="AJ136" s="628">
        <v>0.02</v>
      </c>
      <c r="AK136" s="628">
        <v>0.32</v>
      </c>
      <c r="AL136" s="628">
        <v>0.246</v>
      </c>
      <c r="AM136" s="628">
        <v>0.07</v>
      </c>
      <c r="AN136" s="159"/>
      <c r="AO136" s="138">
        <f t="shared" si="89"/>
        <v>0</v>
      </c>
      <c r="AP136" s="162">
        <f t="shared" si="96"/>
        <v>0</v>
      </c>
      <c r="AQ136" s="162">
        <f t="shared" si="90"/>
        <v>0</v>
      </c>
      <c r="AR136" s="162">
        <f t="shared" si="97"/>
        <v>0</v>
      </c>
      <c r="AS136" s="162">
        <f t="shared" si="91"/>
        <v>0</v>
      </c>
      <c r="AT136" s="162">
        <f t="shared" si="92"/>
        <v>0</v>
      </c>
      <c r="AU136" s="162">
        <f t="shared" si="93"/>
        <v>0</v>
      </c>
      <c r="AV136" s="162">
        <f t="shared" si="94"/>
        <v>0</v>
      </c>
      <c r="AW136" s="161">
        <f t="shared" si="95"/>
        <v>0</v>
      </c>
      <c r="AX136" s="161">
        <f t="shared" si="95"/>
        <v>0</v>
      </c>
      <c r="AY136" s="161">
        <f t="shared" si="95"/>
        <v>0</v>
      </c>
      <c r="AZ136" s="161">
        <f t="shared" si="95"/>
        <v>0</v>
      </c>
      <c r="BB136" s="139"/>
      <c r="BC136" s="139"/>
    </row>
    <row r="137" spans="1:55" ht="14.25" customHeight="1">
      <c r="A137" s="37"/>
      <c r="B137" s="923">
        <v>0.05</v>
      </c>
      <c r="C137" s="494" t="str">
        <f t="shared" si="88"/>
        <v>MARROW</v>
      </c>
      <c r="D137" s="838" t="str">
        <f t="shared" si="88"/>
        <v>-</v>
      </c>
      <c r="E137" s="607"/>
      <c r="F137" s="461"/>
      <c r="G137" s="461"/>
      <c r="H137" s="273"/>
      <c r="I137" s="273"/>
      <c r="J137" s="273"/>
      <c r="K137" s="273"/>
      <c r="L137" s="273"/>
      <c r="M137" s="273"/>
      <c r="N137" s="273"/>
      <c r="O137" s="273"/>
      <c r="P137" s="273"/>
      <c r="Q137" s="273"/>
      <c r="R137" s="273"/>
      <c r="S137" s="273"/>
      <c r="T137" s="1268"/>
      <c r="U137" s="465"/>
      <c r="V137" s="33"/>
      <c r="W137" s="37"/>
      <c r="X137" s="37"/>
      <c r="Y137" s="110"/>
      <c r="Z137" s="177"/>
      <c r="AA137" s="635" t="s">
        <v>222</v>
      </c>
      <c r="AB137" s="621" t="s">
        <v>595</v>
      </c>
      <c r="AC137" s="630">
        <v>1.5</v>
      </c>
      <c r="AD137" s="630">
        <v>0.1</v>
      </c>
      <c r="AE137" s="630">
        <v>0.01</v>
      </c>
      <c r="AF137" s="629">
        <v>3.5</v>
      </c>
      <c r="AG137" s="630">
        <v>1</v>
      </c>
      <c r="AH137" s="630">
        <v>1000</v>
      </c>
      <c r="AI137" s="628">
        <v>212</v>
      </c>
      <c r="AJ137" s="628">
        <v>0.048</v>
      </c>
      <c r="AK137" s="628">
        <v>0.487</v>
      </c>
      <c r="AL137" s="628">
        <v>0.155</v>
      </c>
      <c r="AM137" s="628">
        <v>0.218</v>
      </c>
      <c r="AN137" s="159"/>
      <c r="AO137" s="138">
        <f t="shared" si="89"/>
        <v>0</v>
      </c>
      <c r="AP137" s="162">
        <f t="shared" si="96"/>
        <v>0</v>
      </c>
      <c r="AQ137" s="162">
        <f t="shared" si="90"/>
        <v>0</v>
      </c>
      <c r="AR137" s="162">
        <f t="shared" si="97"/>
        <v>0</v>
      </c>
      <c r="AS137" s="162">
        <f t="shared" si="91"/>
        <v>0</v>
      </c>
      <c r="AT137" s="162">
        <f t="shared" si="92"/>
        <v>0</v>
      </c>
      <c r="AU137" s="162">
        <f t="shared" si="93"/>
        <v>0</v>
      </c>
      <c r="AV137" s="162">
        <f t="shared" si="94"/>
        <v>0</v>
      </c>
      <c r="AW137" s="161">
        <f t="shared" si="95"/>
        <v>0</v>
      </c>
      <c r="AX137" s="161">
        <f t="shared" si="95"/>
        <v>0</v>
      </c>
      <c r="AY137" s="161">
        <f t="shared" si="95"/>
        <v>0</v>
      </c>
      <c r="AZ137" s="161">
        <f t="shared" si="95"/>
        <v>0</v>
      </c>
      <c r="BB137" s="139"/>
      <c r="BC137" s="139"/>
    </row>
    <row r="138" spans="1:55" ht="14.25" customHeight="1">
      <c r="A138" s="37"/>
      <c r="B138" s="923">
        <v>0.18</v>
      </c>
      <c r="C138" s="494" t="str">
        <f t="shared" si="88"/>
        <v>PARSNIP</v>
      </c>
      <c r="D138" s="838" t="str">
        <f t="shared" si="88"/>
        <v>-</v>
      </c>
      <c r="E138" s="607"/>
      <c r="F138" s="461"/>
      <c r="G138" s="461"/>
      <c r="H138" s="273"/>
      <c r="I138" s="273"/>
      <c r="J138" s="273"/>
      <c r="K138" s="273"/>
      <c r="L138" s="273"/>
      <c r="M138" s="273"/>
      <c r="N138" s="273"/>
      <c r="O138" s="273"/>
      <c r="P138" s="270"/>
      <c r="Q138" s="273"/>
      <c r="R138" s="273"/>
      <c r="S138" s="273"/>
      <c r="T138" s="1268"/>
      <c r="U138" s="465"/>
      <c r="V138" s="33"/>
      <c r="W138" s="37"/>
      <c r="X138" s="37"/>
      <c r="Y138" s="110"/>
      <c r="Z138" s="177"/>
      <c r="AA138" s="635" t="s">
        <v>223</v>
      </c>
      <c r="AB138" s="621" t="s">
        <v>595</v>
      </c>
      <c r="AC138" s="628">
        <v>12.5</v>
      </c>
      <c r="AD138" s="628">
        <v>0.12</v>
      </c>
      <c r="AE138" s="630">
        <v>0.01</v>
      </c>
      <c r="AF138" s="629">
        <v>18</v>
      </c>
      <c r="AG138" s="628">
        <v>3.2</v>
      </c>
      <c r="AH138" s="630">
        <v>1500</v>
      </c>
      <c r="AI138" s="628">
        <v>400</v>
      </c>
      <c r="AJ138" s="628">
        <v>0.09</v>
      </c>
      <c r="AK138" s="628">
        <v>0.7</v>
      </c>
      <c r="AL138" s="628">
        <v>0.6</v>
      </c>
      <c r="AM138" s="628">
        <v>0.09</v>
      </c>
      <c r="AN138" s="894"/>
      <c r="AO138" s="138">
        <f t="shared" si="89"/>
        <v>0</v>
      </c>
      <c r="AP138" s="162">
        <f t="shared" si="96"/>
        <v>0</v>
      </c>
      <c r="AQ138" s="162">
        <f t="shared" si="90"/>
        <v>0</v>
      </c>
      <c r="AR138" s="162">
        <f t="shared" si="97"/>
        <v>0</v>
      </c>
      <c r="AS138" s="162">
        <f t="shared" si="91"/>
        <v>0</v>
      </c>
      <c r="AT138" s="162">
        <f t="shared" si="92"/>
        <v>0</v>
      </c>
      <c r="AU138" s="162">
        <f t="shared" si="93"/>
        <v>0</v>
      </c>
      <c r="AV138" s="162">
        <f t="shared" si="94"/>
        <v>0</v>
      </c>
      <c r="AW138" s="161">
        <f t="shared" si="95"/>
        <v>0</v>
      </c>
      <c r="AX138" s="161">
        <f t="shared" si="95"/>
        <v>0</v>
      </c>
      <c r="AY138" s="161">
        <f t="shared" si="95"/>
        <v>0</v>
      </c>
      <c r="AZ138" s="161">
        <f t="shared" si="95"/>
        <v>0</v>
      </c>
      <c r="BB138" s="139"/>
      <c r="BC138" s="139"/>
    </row>
    <row r="139" spans="1:55" ht="14.25" customHeight="1">
      <c r="A139" s="37"/>
      <c r="B139" s="923">
        <v>0.2</v>
      </c>
      <c r="C139" s="494" t="str">
        <f t="shared" si="88"/>
        <v>POTATO</v>
      </c>
      <c r="D139" s="838" t="str">
        <f t="shared" si="88"/>
        <v>-</v>
      </c>
      <c r="E139" s="607"/>
      <c r="F139" s="461"/>
      <c r="G139" s="461"/>
      <c r="H139" s="273"/>
      <c r="I139" s="273"/>
      <c r="J139" s="273"/>
      <c r="K139" s="273"/>
      <c r="L139" s="273"/>
      <c r="M139" s="273"/>
      <c r="N139" s="273"/>
      <c r="O139" s="273"/>
      <c r="P139" s="273"/>
      <c r="Q139" s="273"/>
      <c r="R139" s="273"/>
      <c r="S139" s="273"/>
      <c r="T139" s="1268"/>
      <c r="U139" s="33"/>
      <c r="V139" s="33"/>
      <c r="W139" s="37"/>
      <c r="X139" s="37"/>
      <c r="Y139" s="110"/>
      <c r="Z139" s="177"/>
      <c r="AA139" s="635" t="s">
        <v>224</v>
      </c>
      <c r="AB139" s="621" t="s">
        <v>595</v>
      </c>
      <c r="AC139" s="628">
        <v>0.8</v>
      </c>
      <c r="AD139" s="628">
        <v>0.1</v>
      </c>
      <c r="AE139" s="630">
        <v>0.01</v>
      </c>
      <c r="AF139" s="629">
        <v>17.5</v>
      </c>
      <c r="AG139" s="628">
        <v>2</v>
      </c>
      <c r="AH139" s="630">
        <v>1500</v>
      </c>
      <c r="AI139" s="628">
        <v>500</v>
      </c>
      <c r="AJ139" s="628">
        <v>0.08</v>
      </c>
      <c r="AK139" s="628">
        <v>1.05</v>
      </c>
      <c r="AL139" s="628">
        <v>0.296</v>
      </c>
      <c r="AM139" s="628">
        <v>0.295</v>
      </c>
      <c r="AN139" s="894"/>
      <c r="AO139" s="138">
        <f t="shared" si="89"/>
        <v>0</v>
      </c>
      <c r="AP139" s="162">
        <f t="shared" si="96"/>
        <v>0</v>
      </c>
      <c r="AQ139" s="162">
        <f t="shared" si="90"/>
        <v>0</v>
      </c>
      <c r="AR139" s="162">
        <f t="shared" si="97"/>
        <v>0</v>
      </c>
      <c r="AS139" s="162">
        <f t="shared" si="91"/>
        <v>0</v>
      </c>
      <c r="AT139" s="162">
        <f t="shared" si="92"/>
        <v>0</v>
      </c>
      <c r="AU139" s="162">
        <f t="shared" si="93"/>
        <v>0</v>
      </c>
      <c r="AV139" s="162">
        <f t="shared" si="94"/>
        <v>0</v>
      </c>
      <c r="AW139" s="161">
        <f t="shared" si="95"/>
        <v>0</v>
      </c>
      <c r="AX139" s="161">
        <f t="shared" si="95"/>
        <v>0</v>
      </c>
      <c r="AY139" s="161">
        <f t="shared" si="95"/>
        <v>0</v>
      </c>
      <c r="AZ139" s="161">
        <f t="shared" si="95"/>
        <v>0</v>
      </c>
      <c r="BB139" s="139"/>
      <c r="BC139" s="139"/>
    </row>
    <row r="140" spans="1:55" ht="14.25" customHeight="1">
      <c r="A140" s="37"/>
      <c r="B140" s="924">
        <v>0</v>
      </c>
      <c r="C140" s="839" t="str">
        <f t="shared" si="88"/>
        <v>OTHER</v>
      </c>
      <c r="D140" s="840" t="str">
        <f t="shared" si="88"/>
        <v>-</v>
      </c>
      <c r="E140" s="617"/>
      <c r="F140" s="461"/>
      <c r="G140" s="461"/>
      <c r="H140" s="273"/>
      <c r="I140" s="273"/>
      <c r="J140" s="273"/>
      <c r="K140" s="273"/>
      <c r="L140" s="273"/>
      <c r="M140" s="273"/>
      <c r="N140" s="273"/>
      <c r="O140" s="273"/>
      <c r="P140" s="273"/>
      <c r="Q140" s="273"/>
      <c r="R140" s="273"/>
      <c r="S140" s="273"/>
      <c r="T140" s="1230" t="s">
        <v>342</v>
      </c>
      <c r="U140" s="33"/>
      <c r="V140" s="33"/>
      <c r="W140" s="37"/>
      <c r="X140" s="37"/>
      <c r="Y140" s="110"/>
      <c r="Z140" s="177"/>
      <c r="AA140" s="635" t="s">
        <v>184</v>
      </c>
      <c r="AB140" s="621" t="s">
        <v>595</v>
      </c>
      <c r="AC140" s="628">
        <v>0</v>
      </c>
      <c r="AD140" s="628">
        <v>0</v>
      </c>
      <c r="AE140" s="628">
        <v>0</v>
      </c>
      <c r="AF140" s="628">
        <v>0</v>
      </c>
      <c r="AG140" s="628">
        <v>0</v>
      </c>
      <c r="AH140" s="628">
        <v>0</v>
      </c>
      <c r="AI140" s="628">
        <v>0</v>
      </c>
      <c r="AJ140" s="628">
        <v>0</v>
      </c>
      <c r="AK140" s="628">
        <v>0</v>
      </c>
      <c r="AL140" s="628">
        <v>0</v>
      </c>
      <c r="AM140" s="628">
        <v>0</v>
      </c>
      <c r="AN140" s="894"/>
      <c r="AO140" s="138">
        <f t="shared" si="89"/>
        <v>0</v>
      </c>
      <c r="AP140" s="162">
        <f t="shared" si="96"/>
        <v>0</v>
      </c>
      <c r="AQ140" s="162">
        <f>E140*AE140/100</f>
        <v>0</v>
      </c>
      <c r="AR140" s="162">
        <f t="shared" si="97"/>
        <v>0</v>
      </c>
      <c r="AS140" s="162">
        <f t="shared" si="91"/>
        <v>0</v>
      </c>
      <c r="AT140" s="162">
        <f t="shared" si="92"/>
        <v>0</v>
      </c>
      <c r="AU140" s="162">
        <f t="shared" si="93"/>
        <v>0</v>
      </c>
      <c r="AV140" s="162">
        <f t="shared" si="94"/>
        <v>0</v>
      </c>
      <c r="AW140" s="161">
        <f t="shared" si="95"/>
        <v>0</v>
      </c>
      <c r="AX140" s="161">
        <f t="shared" si="95"/>
        <v>0</v>
      </c>
      <c r="AY140" s="161">
        <f t="shared" si="95"/>
        <v>0</v>
      </c>
      <c r="AZ140" s="161">
        <f t="shared" si="95"/>
        <v>0</v>
      </c>
      <c r="BB140" s="139"/>
      <c r="BC140" s="139"/>
    </row>
    <row r="141" spans="1:55" ht="14.25" customHeight="1">
      <c r="A141" s="37"/>
      <c r="B141" s="1282" t="str">
        <f>"Vegetables, if used - exc. rhubarb - see the `FRUIT` section, MUST be chopped, diced etc. &amp; boiled separately with an equivalent weight of water &amp; then strained out onto the "&amp;J12&amp;"g sugar (see cell J12). Extra water may be added to make the volume up to the stated "&amp;ROUND((375*J12)/(R12-1000)-0.58*J12,-1)&amp;"ml if required."</f>
        <v>Vegetables, if used - exc. rhubarb - see the `FRUIT` section, MUST be chopped, diced etc. &amp; boiled separately with an equivalent weight of water &amp; then strained out onto the 620g sugar (see cell J12). Extra water may be added to make the volume up to the stated 420ml if required.</v>
      </c>
      <c r="C141" s="1282"/>
      <c r="D141" s="1282"/>
      <c r="E141" s="1282"/>
      <c r="F141" s="461"/>
      <c r="G141" s="461"/>
      <c r="H141" s="273"/>
      <c r="I141" s="273"/>
      <c r="J141" s="273"/>
      <c r="K141" s="273"/>
      <c r="L141" s="273"/>
      <c r="M141" s="273"/>
      <c r="N141" s="273"/>
      <c r="O141" s="273"/>
      <c r="P141" s="273"/>
      <c r="Q141" s="273"/>
      <c r="R141" s="273"/>
      <c r="S141" s="273"/>
      <c r="T141" s="1230"/>
      <c r="U141" s="33"/>
      <c r="V141" s="33"/>
      <c r="W141" s="37"/>
      <c r="X141" s="37"/>
      <c r="Y141" s="110"/>
      <c r="Z141" s="177"/>
      <c r="AA141" s="29"/>
      <c r="AB141" s="29"/>
      <c r="AC141" s="29"/>
      <c r="AD141" s="29"/>
      <c r="AE141" s="29"/>
      <c r="AF141" s="29"/>
      <c r="AG141" s="29"/>
      <c r="AH141" s="29"/>
      <c r="AI141" s="29"/>
      <c r="AJ141" s="29"/>
      <c r="AK141" s="29"/>
      <c r="AL141" s="29"/>
      <c r="AM141" s="29"/>
      <c r="AN141" s="29"/>
      <c r="AO141" s="29"/>
      <c r="AP141" s="29"/>
      <c r="AQ141" s="29"/>
      <c r="AS141" s="29"/>
      <c r="AT141" s="29"/>
      <c r="AU141" s="29"/>
      <c r="AV141" s="29"/>
      <c r="AW141" s="29"/>
      <c r="AX141" s="29"/>
      <c r="AY141" s="29"/>
      <c r="AZ141" s="29"/>
      <c r="BA141" s="29"/>
      <c r="BB141" s="679"/>
      <c r="BC141" s="679"/>
    </row>
    <row r="142" spans="1:55" ht="14.25" customHeight="1">
      <c r="A142" s="37"/>
      <c r="B142" s="1283"/>
      <c r="C142" s="1283"/>
      <c r="D142" s="1283"/>
      <c r="E142" s="1283"/>
      <c r="F142" s="464"/>
      <c r="G142" s="461"/>
      <c r="H142" s="273"/>
      <c r="I142" s="273"/>
      <c r="J142" s="273"/>
      <c r="K142" s="273"/>
      <c r="L142" s="273"/>
      <c r="M142" s="273"/>
      <c r="N142" s="273"/>
      <c r="O142" s="273"/>
      <c r="P142" s="273"/>
      <c r="Q142" s="273"/>
      <c r="R142" s="273"/>
      <c r="S142" s="273"/>
      <c r="T142" s="1230"/>
      <c r="U142" s="33"/>
      <c r="V142" s="33"/>
      <c r="W142" s="37"/>
      <c r="X142" s="37"/>
      <c r="Y142" s="110"/>
      <c r="Z142" s="177"/>
      <c r="AA142" s="152"/>
      <c r="AB142" s="152"/>
      <c r="AC142" s="143"/>
      <c r="AD142" s="143"/>
      <c r="AE142" s="143"/>
      <c r="AF142" s="143"/>
      <c r="AG142" s="143"/>
      <c r="AH142" s="143"/>
      <c r="AI142" s="143"/>
      <c r="AJ142" s="143"/>
      <c r="AK142" s="143"/>
      <c r="AL142" s="143"/>
      <c r="AM142" s="143"/>
      <c r="AN142" s="143"/>
      <c r="AO142" s="153"/>
      <c r="AP142" s="143"/>
      <c r="AQ142" s="154"/>
      <c r="AR142" s="154"/>
      <c r="AS142" s="154"/>
      <c r="AT142" s="154"/>
      <c r="AU142" s="143"/>
      <c r="AV142" s="143"/>
      <c r="AW142" s="143"/>
      <c r="AX142" s="143"/>
      <c r="AY142" s="143"/>
      <c r="AZ142" s="143"/>
      <c r="BA142" s="143"/>
      <c r="BB142" s="679"/>
      <c r="BC142" s="679"/>
    </row>
    <row r="143" spans="1:55" ht="14.25" customHeight="1">
      <c r="A143" s="37"/>
      <c r="B143" s="1283"/>
      <c r="C143" s="1283"/>
      <c r="D143" s="1283"/>
      <c r="E143" s="1283"/>
      <c r="F143" s="464"/>
      <c r="G143" s="461"/>
      <c r="H143" s="273"/>
      <c r="I143" s="270"/>
      <c r="J143" s="270"/>
      <c r="K143" s="270"/>
      <c r="L143" s="270"/>
      <c r="M143" s="270"/>
      <c r="N143" s="273"/>
      <c r="O143" s="273"/>
      <c r="P143" s="273"/>
      <c r="Q143" s="463"/>
      <c r="R143" s="463"/>
      <c r="S143" s="462"/>
      <c r="T143" s="1230"/>
      <c r="U143" s="264"/>
      <c r="V143" s="264"/>
      <c r="W143" s="37"/>
      <c r="X143" s="37"/>
      <c r="Y143" s="110"/>
      <c r="Z143" s="177"/>
      <c r="AA143" s="152"/>
      <c r="AB143" s="152"/>
      <c r="AC143" s="143"/>
      <c r="AD143" s="143"/>
      <c r="AE143" s="143"/>
      <c r="AF143" s="143"/>
      <c r="AG143" s="143"/>
      <c r="AH143" s="143"/>
      <c r="AI143" s="143"/>
      <c r="AJ143" s="143"/>
      <c r="AK143" s="143"/>
      <c r="AL143" s="143"/>
      <c r="AM143" s="143"/>
      <c r="AN143" s="143"/>
      <c r="AO143" s="244">
        <f aca="true" t="shared" si="98" ref="AO143:AZ143">SUM(AO12:AO140)</f>
        <v>73.8</v>
      </c>
      <c r="AP143" s="244">
        <f t="shared" si="98"/>
        <v>386.17</v>
      </c>
      <c r="AQ143" s="244">
        <f t="shared" si="98"/>
        <v>22.803561249999998</v>
      </c>
      <c r="AR143" s="244">
        <f t="shared" si="98"/>
        <v>0.50501125</v>
      </c>
      <c r="AS143" s="244">
        <f t="shared" si="98"/>
        <v>8.916999999999987</v>
      </c>
      <c r="AT143" s="244">
        <f t="shared" si="98"/>
        <v>0.5683333333333334</v>
      </c>
      <c r="AU143" s="244">
        <f t="shared" si="98"/>
        <v>410</v>
      </c>
      <c r="AV143" s="178">
        <f t="shared" si="98"/>
        <v>4015.8</v>
      </c>
      <c r="AW143" s="178">
        <f t="shared" si="98"/>
        <v>0.6819999999999999</v>
      </c>
      <c r="AX143" s="178">
        <f t="shared" si="98"/>
        <v>4.23</v>
      </c>
      <c r="AY143" s="178">
        <f t="shared" si="98"/>
        <v>1.8636</v>
      </c>
      <c r="AZ143" s="178">
        <f t="shared" si="98"/>
        <v>1.105</v>
      </c>
      <c r="BA143" s="143"/>
      <c r="BB143" s="679"/>
      <c r="BC143" s="679"/>
    </row>
    <row r="144" spans="1:55" ht="14.25" customHeight="1">
      <c r="A144" s="37"/>
      <c r="B144" s="1283"/>
      <c r="C144" s="1283"/>
      <c r="D144" s="1283"/>
      <c r="E144" s="1283"/>
      <c r="F144" s="464"/>
      <c r="G144" s="534"/>
      <c r="H144" s="534"/>
      <c r="I144" s="465"/>
      <c r="J144" s="465"/>
      <c r="K144" s="465"/>
      <c r="L144" s="270"/>
      <c r="M144" s="270"/>
      <c r="N144" s="270"/>
      <c r="O144" s="462"/>
      <c r="P144" s="273"/>
      <c r="Q144" s="463"/>
      <c r="R144" s="463"/>
      <c r="S144" s="462"/>
      <c r="T144" s="1230"/>
      <c r="U144" s="264"/>
      <c r="V144" s="264"/>
      <c r="W144" s="37"/>
      <c r="X144" s="37"/>
      <c r="Y144" s="110"/>
      <c r="Z144" s="177"/>
      <c r="AA144" s="152"/>
      <c r="AB144" s="152"/>
      <c r="AC144" s="143"/>
      <c r="AD144" s="143"/>
      <c r="AE144" s="143"/>
      <c r="AF144" s="143"/>
      <c r="AG144" s="143"/>
      <c r="AH144" s="143"/>
      <c r="AI144" s="143"/>
      <c r="AJ144" s="143"/>
      <c r="AK144" s="143"/>
      <c r="AL144" s="143"/>
      <c r="AM144" s="143"/>
      <c r="AN144" s="143"/>
      <c r="AO144" s="243" t="s">
        <v>401</v>
      </c>
      <c r="AP144" s="145" t="s">
        <v>244</v>
      </c>
      <c r="AQ144" s="146" t="s">
        <v>310</v>
      </c>
      <c r="AR144" s="146" t="s">
        <v>316</v>
      </c>
      <c r="AS144" s="146" t="s">
        <v>318</v>
      </c>
      <c r="AT144" s="146" t="s">
        <v>329</v>
      </c>
      <c r="AU144" s="145" t="s">
        <v>319</v>
      </c>
      <c r="AV144" s="145" t="s">
        <v>330</v>
      </c>
      <c r="AW144" s="145" t="s">
        <v>333</v>
      </c>
      <c r="AX144" s="145" t="s">
        <v>339</v>
      </c>
      <c r="AY144" s="145" t="s">
        <v>343</v>
      </c>
      <c r="AZ144" s="149" t="s">
        <v>349</v>
      </c>
      <c r="BA144" s="143"/>
      <c r="BB144" s="679"/>
      <c r="BC144" s="679"/>
    </row>
    <row r="145" spans="1:55" ht="14.25" customHeight="1">
      <c r="A145" s="37"/>
      <c r="B145" s="213"/>
      <c r="C145" s="213"/>
      <c r="D145" s="213"/>
      <c r="E145" s="213"/>
      <c r="F145" s="464"/>
      <c r="G145" s="461"/>
      <c r="H145" s="273"/>
      <c r="I145" s="273"/>
      <c r="J145" s="273"/>
      <c r="K145" s="273"/>
      <c r="L145" s="273"/>
      <c r="M145" s="273"/>
      <c r="N145" s="273"/>
      <c r="O145" s="273"/>
      <c r="P145" s="273"/>
      <c r="Q145" s="270"/>
      <c r="R145" s="270"/>
      <c r="S145" s="270"/>
      <c r="T145" s="270"/>
      <c r="V145" s="264"/>
      <c r="W145" s="37"/>
      <c r="X145" s="37"/>
      <c r="Y145" s="110"/>
      <c r="Z145" s="177"/>
      <c r="AA145" s="152"/>
      <c r="AB145" s="152"/>
      <c r="AC145" s="143"/>
      <c r="AD145" s="143"/>
      <c r="AE145" s="143"/>
      <c r="AF145" s="143"/>
      <c r="AG145" s="143"/>
      <c r="AH145" s="143"/>
      <c r="AI145" s="143"/>
      <c r="AJ145" s="143"/>
      <c r="AK145" s="143"/>
      <c r="AL145" s="143"/>
      <c r="AM145" s="143"/>
      <c r="AN145" s="143"/>
      <c r="AO145" s="153"/>
      <c r="AP145" s="143"/>
      <c r="AQ145" s="154"/>
      <c r="AR145" s="154"/>
      <c r="AS145" s="154"/>
      <c r="AT145" s="154"/>
      <c r="AU145" s="143"/>
      <c r="AV145" s="143"/>
      <c r="AW145" s="143"/>
      <c r="AX145" s="143"/>
      <c r="AY145" s="143"/>
      <c r="AZ145" s="143"/>
      <c r="BA145" s="143"/>
      <c r="BB145" s="679"/>
      <c r="BC145" s="679"/>
    </row>
    <row r="146" spans="1:56" ht="15" customHeight="1">
      <c r="A146" s="37"/>
      <c r="B146" s="213"/>
      <c r="C146" s="213"/>
      <c r="D146" s="213"/>
      <c r="E146" s="213"/>
      <c r="F146" s="213"/>
      <c r="G146" s="245"/>
      <c r="H146" s="37"/>
      <c r="I146" s="37"/>
      <c r="J146" s="37"/>
      <c r="K146" s="37"/>
      <c r="L146" s="37"/>
      <c r="M146" s="37"/>
      <c r="N146" s="37"/>
      <c r="O146" s="37"/>
      <c r="P146" s="37"/>
      <c r="Q146" s="535"/>
      <c r="R146" s="535"/>
      <c r="S146" s="264"/>
      <c r="T146" s="264"/>
      <c r="U146" s="264"/>
      <c r="V146" s="264"/>
      <c r="W146" s="37"/>
      <c r="X146" s="37"/>
      <c r="Y146" s="110"/>
      <c r="Z146" s="177"/>
      <c r="AA146" s="152"/>
      <c r="AB146" s="152"/>
      <c r="AC146" s="143"/>
      <c r="AD146" s="143"/>
      <c r="AE146" s="143"/>
      <c r="AF146" s="143"/>
      <c r="AG146" s="143"/>
      <c r="AH146" s="143"/>
      <c r="AI146" s="143"/>
      <c r="AJ146" s="143"/>
      <c r="AK146" s="143"/>
      <c r="AL146" s="143"/>
      <c r="AM146" s="143"/>
      <c r="AN146" s="143"/>
      <c r="AO146" s="153"/>
      <c r="AP146" s="143"/>
      <c r="AQ146" s="154"/>
      <c r="AR146" s="154"/>
      <c r="AS146" s="154"/>
      <c r="AT146" s="154"/>
      <c r="AU146" s="143"/>
      <c r="AV146" s="143"/>
      <c r="AW146" s="143"/>
      <c r="AX146" s="143"/>
      <c r="AY146" s="143"/>
      <c r="AZ146" s="143"/>
      <c r="BA146" s="143"/>
      <c r="BB146" s="679"/>
      <c r="BC146" s="679"/>
      <c r="BD146" s="139"/>
    </row>
    <row r="147" spans="1:56" ht="13.5">
      <c r="A147" s="37"/>
      <c r="B147" s="33"/>
      <c r="C147" s="33"/>
      <c r="D147" s="33"/>
      <c r="E147" s="33"/>
      <c r="F147" s="33"/>
      <c r="G147" s="33"/>
      <c r="H147" s="225"/>
      <c r="I147" s="226"/>
      <c r="J147" s="227"/>
      <c r="K147" s="228"/>
      <c r="L147" s="228"/>
      <c r="M147" s="228"/>
      <c r="N147" s="228"/>
      <c r="O147" s="228"/>
      <c r="P147" s="33"/>
      <c r="Q147" s="33"/>
      <c r="R147" s="37"/>
      <c r="S147" s="37"/>
      <c r="T147" s="33"/>
      <c r="U147" s="33"/>
      <c r="V147" s="264"/>
      <c r="W147" s="37"/>
      <c r="X147" s="37"/>
      <c r="Y147" s="110"/>
      <c r="Z147" s="177"/>
      <c r="AA147" s="138"/>
      <c r="AB147" s="138"/>
      <c r="AC147" s="143"/>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679"/>
      <c r="BC147" s="679"/>
      <c r="BD147" s="139"/>
    </row>
    <row r="148" spans="1:56" ht="13.5">
      <c r="A148" s="37"/>
      <c r="B148" s="33"/>
      <c r="C148" s="33"/>
      <c r="D148" s="33"/>
      <c r="E148" s="33"/>
      <c r="F148" s="33"/>
      <c r="G148" s="33"/>
      <c r="H148" s="225"/>
      <c r="I148" s="226"/>
      <c r="J148" s="227"/>
      <c r="K148" s="228"/>
      <c r="L148" s="228"/>
      <c r="M148" s="228"/>
      <c r="N148" s="228"/>
      <c r="O148" s="228"/>
      <c r="P148" s="33"/>
      <c r="Q148" s="33"/>
      <c r="R148" s="37"/>
      <c r="S148" s="37"/>
      <c r="T148" s="33"/>
      <c r="U148" s="33"/>
      <c r="V148" s="33"/>
      <c r="W148" s="37"/>
      <c r="X148" s="37"/>
      <c r="Y148" s="232"/>
      <c r="Z148" s="177"/>
      <c r="AA148" s="138"/>
      <c r="AB148" s="138"/>
      <c r="AC148" s="143"/>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679"/>
      <c r="BC148" s="679"/>
      <c r="BD148" s="139"/>
    </row>
    <row r="149" spans="1:56" ht="13.5">
      <c r="A149" s="37"/>
      <c r="B149" s="33"/>
      <c r="C149" s="33"/>
      <c r="D149" s="33"/>
      <c r="E149" s="33"/>
      <c r="F149" s="33"/>
      <c r="G149" s="33"/>
      <c r="H149" s="225"/>
      <c r="I149" s="226"/>
      <c r="J149" s="227"/>
      <c r="K149" s="228"/>
      <c r="L149" s="228"/>
      <c r="M149" s="228"/>
      <c r="N149" s="228"/>
      <c r="O149" s="228"/>
      <c r="P149" s="33"/>
      <c r="Q149" s="33"/>
      <c r="R149" s="37"/>
      <c r="S149" s="37"/>
      <c r="T149" s="33"/>
      <c r="U149" s="33"/>
      <c r="V149" s="33"/>
      <c r="W149" s="37"/>
      <c r="X149" s="37"/>
      <c r="Y149" s="232"/>
      <c r="Z149" s="177"/>
      <c r="AA149" s="138"/>
      <c r="AB149" s="138"/>
      <c r="AC149" s="143"/>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679"/>
      <c r="BC149" s="679"/>
      <c r="BD149" s="139"/>
    </row>
    <row r="150" spans="1:56" ht="13.5">
      <c r="A150" s="37"/>
      <c r="B150" s="33"/>
      <c r="C150" s="33"/>
      <c r="D150" s="33"/>
      <c r="E150" s="33"/>
      <c r="F150" s="33"/>
      <c r="G150" s="33"/>
      <c r="H150" s="225"/>
      <c r="I150" s="226"/>
      <c r="J150" s="227"/>
      <c r="K150" s="228"/>
      <c r="L150" s="228"/>
      <c r="M150" s="228"/>
      <c r="N150" s="228"/>
      <c r="O150" s="228"/>
      <c r="P150" s="33"/>
      <c r="Q150" s="33"/>
      <c r="R150" s="37"/>
      <c r="S150" s="37"/>
      <c r="T150" s="33"/>
      <c r="U150" s="33"/>
      <c r="V150" s="33"/>
      <c r="W150" s="37"/>
      <c r="X150" s="37"/>
      <c r="Y150" s="232"/>
      <c r="Z150" s="177"/>
      <c r="AA150" s="138"/>
      <c r="AB150" s="138"/>
      <c r="AC150" s="143"/>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679"/>
      <c r="BC150" s="679"/>
      <c r="BD150" s="139"/>
    </row>
    <row r="151" spans="1:56" ht="13.5">
      <c r="A151" s="37"/>
      <c r="B151" s="33"/>
      <c r="C151" s="33"/>
      <c r="D151" s="33"/>
      <c r="E151" s="33"/>
      <c r="F151" s="33"/>
      <c r="G151" s="33"/>
      <c r="H151" s="225"/>
      <c r="I151" s="226"/>
      <c r="J151" s="227"/>
      <c r="K151" s="228"/>
      <c r="L151" s="228"/>
      <c r="M151" s="228"/>
      <c r="N151" s="228"/>
      <c r="O151" s="228"/>
      <c r="P151" s="33"/>
      <c r="Q151" s="33"/>
      <c r="R151" s="37"/>
      <c r="S151" s="37"/>
      <c r="T151" s="33"/>
      <c r="U151" s="33"/>
      <c r="V151" s="33"/>
      <c r="W151" s="37"/>
      <c r="X151" s="37"/>
      <c r="Y151" s="232"/>
      <c r="Z151" s="177"/>
      <c r="AA151" s="138"/>
      <c r="AB151" s="138"/>
      <c r="AC151" s="143"/>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679"/>
      <c r="BC151" s="679"/>
      <c r="BD151" s="139"/>
    </row>
    <row r="152" spans="1:56" ht="13.5">
      <c r="A152" s="37"/>
      <c r="B152" s="33"/>
      <c r="C152" s="33"/>
      <c r="D152" s="33"/>
      <c r="E152" s="33"/>
      <c r="F152" s="33"/>
      <c r="G152" s="33"/>
      <c r="H152" s="225"/>
      <c r="I152" s="226"/>
      <c r="J152" s="227"/>
      <c r="K152" s="228"/>
      <c r="L152" s="228"/>
      <c r="M152" s="228"/>
      <c r="N152" s="228"/>
      <c r="O152" s="228"/>
      <c r="P152" s="33"/>
      <c r="Q152" s="33"/>
      <c r="R152" s="37"/>
      <c r="S152" s="37"/>
      <c r="T152" s="33"/>
      <c r="U152" s="33"/>
      <c r="V152" s="33"/>
      <c r="W152" s="37"/>
      <c r="X152" s="37"/>
      <c r="Y152" s="232"/>
      <c r="Z152" s="177"/>
      <c r="AA152" s="138"/>
      <c r="AB152" s="138"/>
      <c r="AC152" s="143"/>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679"/>
      <c r="BC152" s="679"/>
      <c r="BD152" s="139"/>
    </row>
    <row r="153" spans="1:56" ht="13.5">
      <c r="A153" s="37"/>
      <c r="B153" s="33"/>
      <c r="C153" s="33"/>
      <c r="D153" s="33"/>
      <c r="E153" s="33"/>
      <c r="F153" s="33"/>
      <c r="G153" s="33"/>
      <c r="H153" s="225"/>
      <c r="I153" s="226"/>
      <c r="J153" s="227"/>
      <c r="K153" s="228"/>
      <c r="L153" s="228"/>
      <c r="M153" s="228"/>
      <c r="N153" s="228"/>
      <c r="O153" s="228"/>
      <c r="P153" s="33"/>
      <c r="Q153" s="33"/>
      <c r="R153" s="37"/>
      <c r="S153" s="37"/>
      <c r="T153" s="33"/>
      <c r="U153" s="33"/>
      <c r="V153" s="33"/>
      <c r="W153" s="37"/>
      <c r="X153" s="37"/>
      <c r="Y153" s="232"/>
      <c r="Z153" s="177"/>
      <c r="AA153" s="138"/>
      <c r="AB153" s="138"/>
      <c r="AC153" s="143"/>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679"/>
      <c r="BC153" s="679"/>
      <c r="BD153" s="139"/>
    </row>
    <row r="154" spans="1:56" ht="13.5">
      <c r="A154" s="37"/>
      <c r="B154" s="33"/>
      <c r="C154" s="33"/>
      <c r="D154" s="33"/>
      <c r="E154" s="33"/>
      <c r="F154" s="33"/>
      <c r="G154" s="33"/>
      <c r="H154" s="225"/>
      <c r="I154" s="226"/>
      <c r="J154" s="227"/>
      <c r="K154" s="228"/>
      <c r="L154" s="228"/>
      <c r="M154" s="228"/>
      <c r="N154" s="228"/>
      <c r="O154" s="228"/>
      <c r="P154" s="33"/>
      <c r="Q154" s="33"/>
      <c r="R154" s="37"/>
      <c r="S154" s="37"/>
      <c r="T154" s="33"/>
      <c r="U154" s="33"/>
      <c r="V154" s="33"/>
      <c r="W154" s="37"/>
      <c r="X154" s="37"/>
      <c r="Y154" s="232"/>
      <c r="Z154" s="177"/>
      <c r="AA154" s="138"/>
      <c r="AB154" s="138"/>
      <c r="AC154" s="143"/>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679"/>
      <c r="BC154" s="679"/>
      <c r="BD154" s="139"/>
    </row>
    <row r="155" spans="1:56" ht="13.5">
      <c r="A155" s="37"/>
      <c r="B155" s="33"/>
      <c r="C155" s="33"/>
      <c r="D155" s="33"/>
      <c r="E155" s="33"/>
      <c r="F155" s="33"/>
      <c r="G155" s="33"/>
      <c r="H155" s="225"/>
      <c r="I155" s="226"/>
      <c r="J155" s="227"/>
      <c r="K155" s="228"/>
      <c r="L155" s="228"/>
      <c r="M155" s="228"/>
      <c r="N155" s="228"/>
      <c r="O155" s="228"/>
      <c r="P155" s="33"/>
      <c r="Q155" s="33"/>
      <c r="R155" s="37"/>
      <c r="S155" s="37"/>
      <c r="T155" s="33"/>
      <c r="U155" s="33"/>
      <c r="V155" s="33"/>
      <c r="W155" s="37"/>
      <c r="X155" s="37"/>
      <c r="Y155" s="232"/>
      <c r="Z155" s="177"/>
      <c r="AA155" s="138"/>
      <c r="AB155" s="138"/>
      <c r="AC155" s="143"/>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679"/>
      <c r="BC155" s="679"/>
      <c r="BD155" s="139"/>
    </row>
    <row r="156" spans="1:56" ht="13.5">
      <c r="A156" s="37"/>
      <c r="B156" s="33"/>
      <c r="C156" s="33"/>
      <c r="D156" s="33"/>
      <c r="E156" s="33"/>
      <c r="F156" s="33"/>
      <c r="G156" s="33"/>
      <c r="H156" s="225"/>
      <c r="I156" s="226"/>
      <c r="J156" s="227"/>
      <c r="K156" s="228"/>
      <c r="L156" s="228"/>
      <c r="M156" s="228"/>
      <c r="N156" s="228"/>
      <c r="O156" s="228"/>
      <c r="P156" s="33"/>
      <c r="Q156" s="33"/>
      <c r="R156" s="37"/>
      <c r="S156" s="37"/>
      <c r="T156" s="33"/>
      <c r="U156" s="33"/>
      <c r="V156" s="33"/>
      <c r="W156" s="37"/>
      <c r="X156" s="37"/>
      <c r="Y156" s="232"/>
      <c r="Z156" s="177"/>
      <c r="AA156" s="138"/>
      <c r="AB156" s="138"/>
      <c r="AC156" s="143"/>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679"/>
      <c r="BC156" s="679"/>
      <c r="BD156" s="139"/>
    </row>
    <row r="157" spans="1:56" ht="13.5">
      <c r="A157" s="37"/>
      <c r="B157" s="33"/>
      <c r="C157" s="33"/>
      <c r="D157" s="33"/>
      <c r="E157" s="33"/>
      <c r="F157" s="33"/>
      <c r="G157" s="33"/>
      <c r="H157" s="225"/>
      <c r="I157" s="226"/>
      <c r="J157" s="227"/>
      <c r="K157" s="228"/>
      <c r="L157" s="228"/>
      <c r="M157" s="228"/>
      <c r="N157" s="228"/>
      <c r="O157" s="228"/>
      <c r="P157" s="33"/>
      <c r="Q157" s="33"/>
      <c r="R157" s="37"/>
      <c r="S157" s="37"/>
      <c r="T157" s="33"/>
      <c r="U157" s="33"/>
      <c r="V157" s="33"/>
      <c r="W157" s="37"/>
      <c r="X157" s="37"/>
      <c r="Y157" s="232"/>
      <c r="Z157" s="177"/>
      <c r="AA157" s="138"/>
      <c r="AB157" s="138"/>
      <c r="AC157" s="143"/>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679"/>
      <c r="BC157" s="679"/>
      <c r="BD157" s="139"/>
    </row>
    <row r="158" spans="1:56" ht="13.5">
      <c r="A158" s="37"/>
      <c r="B158" s="33"/>
      <c r="C158" s="33"/>
      <c r="D158" s="33"/>
      <c r="E158" s="33"/>
      <c r="F158" s="33"/>
      <c r="G158" s="33"/>
      <c r="H158" s="225"/>
      <c r="I158" s="226"/>
      <c r="J158" s="227"/>
      <c r="K158" s="228"/>
      <c r="L158" s="228"/>
      <c r="M158" s="228"/>
      <c r="N158" s="228"/>
      <c r="O158" s="228"/>
      <c r="P158" s="33"/>
      <c r="Q158" s="33"/>
      <c r="R158" s="37"/>
      <c r="S158" s="37"/>
      <c r="T158" s="33"/>
      <c r="U158" s="33"/>
      <c r="V158" s="33"/>
      <c r="W158" s="37"/>
      <c r="X158" s="37"/>
      <c r="Y158" s="232"/>
      <c r="Z158" s="177"/>
      <c r="AA158" s="138"/>
      <c r="AB158" s="138"/>
      <c r="AC158" s="143"/>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679"/>
      <c r="BC158" s="679"/>
      <c r="BD158" s="139"/>
    </row>
    <row r="159" spans="1:56" ht="13.5">
      <c r="A159" s="37"/>
      <c r="B159" s="33"/>
      <c r="C159" s="33"/>
      <c r="D159" s="33"/>
      <c r="E159" s="33"/>
      <c r="F159" s="33"/>
      <c r="G159" s="33"/>
      <c r="H159" s="225"/>
      <c r="I159" s="226"/>
      <c r="J159" s="227"/>
      <c r="K159" s="228"/>
      <c r="L159" s="228"/>
      <c r="M159" s="228"/>
      <c r="N159" s="228"/>
      <c r="O159" s="228"/>
      <c r="P159" s="33"/>
      <c r="Q159" s="33"/>
      <c r="R159" s="37"/>
      <c r="S159" s="37"/>
      <c r="T159" s="33"/>
      <c r="U159" s="33"/>
      <c r="V159" s="33"/>
      <c r="W159" s="37"/>
      <c r="X159" s="37"/>
      <c r="Y159" s="232"/>
      <c r="Z159" s="177"/>
      <c r="AA159" s="138"/>
      <c r="AB159" s="138"/>
      <c r="AC159" s="143"/>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679"/>
      <c r="BC159" s="679"/>
      <c r="BD159" s="139"/>
    </row>
    <row r="160" spans="1:56" ht="13.5">
      <c r="A160" s="37"/>
      <c r="B160" s="33"/>
      <c r="C160" s="33"/>
      <c r="D160" s="33"/>
      <c r="E160" s="33"/>
      <c r="F160" s="33"/>
      <c r="G160" s="33"/>
      <c r="H160" s="225"/>
      <c r="I160" s="226"/>
      <c r="J160" s="227"/>
      <c r="K160" s="228"/>
      <c r="L160" s="228"/>
      <c r="M160" s="228"/>
      <c r="N160" s="228"/>
      <c r="O160" s="228"/>
      <c r="P160" s="33"/>
      <c r="Q160" s="33"/>
      <c r="R160" s="37"/>
      <c r="S160" s="37"/>
      <c r="T160" s="33"/>
      <c r="U160" s="33"/>
      <c r="V160" s="33"/>
      <c r="W160" s="37"/>
      <c r="X160" s="37"/>
      <c r="Y160" s="232"/>
      <c r="Z160" s="177"/>
      <c r="AA160" s="138"/>
      <c r="AB160" s="138"/>
      <c r="AC160" s="143"/>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679"/>
      <c r="BC160" s="679"/>
      <c r="BD160" s="139"/>
    </row>
    <row r="161" spans="1:56" ht="13.5">
      <c r="A161" s="37"/>
      <c r="B161" s="33"/>
      <c r="C161" s="33"/>
      <c r="D161" s="33"/>
      <c r="E161" s="33"/>
      <c r="F161" s="33"/>
      <c r="G161" s="33"/>
      <c r="H161" s="225"/>
      <c r="I161" s="226"/>
      <c r="J161" s="227"/>
      <c r="K161" s="228"/>
      <c r="L161" s="228"/>
      <c r="M161" s="228"/>
      <c r="N161" s="228"/>
      <c r="O161" s="228"/>
      <c r="P161" s="33"/>
      <c r="Q161" s="33"/>
      <c r="R161" s="37"/>
      <c r="S161" s="37"/>
      <c r="T161" s="33"/>
      <c r="U161" s="33"/>
      <c r="V161" s="33"/>
      <c r="W161" s="37"/>
      <c r="X161" s="37"/>
      <c r="Y161" s="232"/>
      <c r="Z161" s="177"/>
      <c r="AA161" s="138"/>
      <c r="AB161" s="138"/>
      <c r="AC161" s="143"/>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679"/>
      <c r="BC161" s="679"/>
      <c r="BD161" s="139"/>
    </row>
    <row r="162" spans="1:56" ht="13.5">
      <c r="A162" s="37"/>
      <c r="B162" s="33"/>
      <c r="C162" s="33"/>
      <c r="D162" s="33"/>
      <c r="E162" s="33"/>
      <c r="F162" s="33"/>
      <c r="G162" s="33"/>
      <c r="H162" s="225"/>
      <c r="I162" s="226"/>
      <c r="J162" s="227"/>
      <c r="K162" s="228"/>
      <c r="L162" s="228"/>
      <c r="M162" s="228"/>
      <c r="N162" s="228"/>
      <c r="O162" s="228"/>
      <c r="P162" s="33"/>
      <c r="Q162" s="33"/>
      <c r="R162" s="37"/>
      <c r="S162" s="37"/>
      <c r="T162" s="33"/>
      <c r="U162" s="33"/>
      <c r="V162" s="33"/>
      <c r="W162" s="37"/>
      <c r="X162" s="37"/>
      <c r="Y162" s="232"/>
      <c r="Z162" s="177"/>
      <c r="AA162" s="138"/>
      <c r="AB162" s="138"/>
      <c r="AC162" s="143"/>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679"/>
      <c r="BC162" s="679"/>
      <c r="BD162" s="139"/>
    </row>
    <row r="163" spans="1:56" ht="13.5">
      <c r="A163" s="37"/>
      <c r="B163" s="33"/>
      <c r="C163" s="33"/>
      <c r="D163" s="33"/>
      <c r="E163" s="33"/>
      <c r="F163" s="33"/>
      <c r="G163" s="33"/>
      <c r="H163" s="225"/>
      <c r="I163" s="226"/>
      <c r="J163" s="227"/>
      <c r="K163" s="228"/>
      <c r="L163" s="228"/>
      <c r="M163" s="228"/>
      <c r="N163" s="228"/>
      <c r="O163" s="228"/>
      <c r="P163" s="33"/>
      <c r="Q163" s="33"/>
      <c r="R163" s="37"/>
      <c r="S163" s="37"/>
      <c r="T163" s="33"/>
      <c r="U163" s="33"/>
      <c r="V163" s="33"/>
      <c r="W163" s="37"/>
      <c r="X163" s="37"/>
      <c r="Y163" s="232"/>
      <c r="Z163" s="177"/>
      <c r="AA163" s="138"/>
      <c r="AB163" s="138"/>
      <c r="AC163" s="143"/>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679"/>
      <c r="BC163" s="679"/>
      <c r="BD163" s="139"/>
    </row>
    <row r="164" spans="1:56" ht="13.5">
      <c r="A164" s="37"/>
      <c r="B164" s="33"/>
      <c r="C164" s="33"/>
      <c r="D164" s="33"/>
      <c r="E164" s="33"/>
      <c r="F164" s="33"/>
      <c r="G164" s="33"/>
      <c r="H164" s="225"/>
      <c r="I164" s="226"/>
      <c r="J164" s="227"/>
      <c r="K164" s="228"/>
      <c r="L164" s="228"/>
      <c r="M164" s="228"/>
      <c r="N164" s="228"/>
      <c r="O164" s="228"/>
      <c r="P164" s="33"/>
      <c r="Q164" s="33"/>
      <c r="R164" s="37"/>
      <c r="S164" s="37"/>
      <c r="T164" s="33"/>
      <c r="U164" s="33"/>
      <c r="V164" s="33"/>
      <c r="W164" s="37"/>
      <c r="X164" s="37"/>
      <c r="Y164" s="232"/>
      <c r="Z164" s="177"/>
      <c r="AA164" s="138"/>
      <c r="AB164" s="138"/>
      <c r="AC164" s="143"/>
      <c r="AD164" s="240"/>
      <c r="AE164" s="240"/>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139"/>
      <c r="BC164" s="139"/>
      <c r="BD164" s="139"/>
    </row>
    <row r="165" spans="1:56" ht="13.5">
      <c r="A165" s="37"/>
      <c r="B165" s="33"/>
      <c r="C165" s="33"/>
      <c r="D165" s="33"/>
      <c r="E165" s="33"/>
      <c r="F165" s="33"/>
      <c r="G165" s="33"/>
      <c r="H165" s="225"/>
      <c r="I165" s="226"/>
      <c r="J165" s="227"/>
      <c r="K165" s="228"/>
      <c r="L165" s="228"/>
      <c r="M165" s="228"/>
      <c r="N165" s="228"/>
      <c r="O165" s="228"/>
      <c r="P165" s="33"/>
      <c r="Q165" s="33"/>
      <c r="R165" s="37"/>
      <c r="S165" s="37"/>
      <c r="T165" s="33"/>
      <c r="U165" s="33"/>
      <c r="V165" s="33"/>
      <c r="W165" s="37"/>
      <c r="X165" s="37"/>
      <c r="Y165" s="232"/>
      <c r="Z165" s="177"/>
      <c r="AA165" s="138"/>
      <c r="AB165" s="138"/>
      <c r="AC165" s="143"/>
      <c r="AD165" s="240"/>
      <c r="AE165" s="240"/>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139"/>
      <c r="BC165" s="139"/>
      <c r="BD165" s="139"/>
    </row>
    <row r="166" spans="1:56" ht="13.5">
      <c r="A166" s="37"/>
      <c r="B166" s="33"/>
      <c r="C166" s="33"/>
      <c r="D166" s="33"/>
      <c r="E166" s="33"/>
      <c r="F166" s="33"/>
      <c r="G166" s="33"/>
      <c r="H166" s="225"/>
      <c r="I166" s="226"/>
      <c r="J166" s="227"/>
      <c r="K166" s="228"/>
      <c r="L166" s="228"/>
      <c r="M166" s="228"/>
      <c r="N166" s="228"/>
      <c r="O166" s="228"/>
      <c r="P166" s="33"/>
      <c r="Q166" s="33"/>
      <c r="R166" s="37"/>
      <c r="S166" s="37"/>
      <c r="T166" s="33"/>
      <c r="U166" s="33"/>
      <c r="V166" s="33"/>
      <c r="W166" s="37"/>
      <c r="X166" s="37"/>
      <c r="Y166" s="232"/>
      <c r="Z166" s="177"/>
      <c r="AA166" s="138"/>
      <c r="AB166" s="138"/>
      <c r="AC166" s="143"/>
      <c r="AD166" s="240"/>
      <c r="AE166" s="240"/>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139"/>
      <c r="BC166" s="139"/>
      <c r="BD166" s="139"/>
    </row>
    <row r="167" spans="1:56" ht="13.5">
      <c r="A167" s="37"/>
      <c r="B167" s="33"/>
      <c r="C167" s="33"/>
      <c r="D167" s="33"/>
      <c r="E167" s="33"/>
      <c r="F167" s="33"/>
      <c r="G167" s="33"/>
      <c r="H167" s="225"/>
      <c r="I167" s="226"/>
      <c r="J167" s="227"/>
      <c r="K167" s="228"/>
      <c r="L167" s="228"/>
      <c r="M167" s="228"/>
      <c r="N167" s="228"/>
      <c r="O167" s="228"/>
      <c r="P167" s="33"/>
      <c r="Q167" s="33"/>
      <c r="R167" s="37"/>
      <c r="S167" s="37"/>
      <c r="T167" s="33"/>
      <c r="U167" s="33"/>
      <c r="V167" s="33"/>
      <c r="W167" s="37"/>
      <c r="X167" s="37"/>
      <c r="Y167" s="232"/>
      <c r="Z167" s="177"/>
      <c r="AA167" s="138"/>
      <c r="AB167" s="138"/>
      <c r="AC167" s="143"/>
      <c r="AD167" s="240"/>
      <c r="AE167" s="240"/>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139"/>
      <c r="BC167" s="139"/>
      <c r="BD167" s="139"/>
    </row>
    <row r="168" spans="1:56" ht="13.5">
      <c r="A168" s="37"/>
      <c r="B168" s="33"/>
      <c r="C168" s="33"/>
      <c r="D168" s="33"/>
      <c r="E168" s="33"/>
      <c r="F168" s="33"/>
      <c r="G168" s="33"/>
      <c r="H168" s="225"/>
      <c r="I168" s="226"/>
      <c r="J168" s="227"/>
      <c r="K168" s="228"/>
      <c r="L168" s="228"/>
      <c r="M168" s="228"/>
      <c r="N168" s="228"/>
      <c r="O168" s="228"/>
      <c r="P168" s="33"/>
      <c r="Q168" s="33"/>
      <c r="R168" s="37"/>
      <c r="S168" s="37"/>
      <c r="T168" s="33"/>
      <c r="U168" s="33"/>
      <c r="V168" s="33"/>
      <c r="W168" s="37"/>
      <c r="X168" s="37"/>
      <c r="Y168" s="232"/>
      <c r="Z168" s="177"/>
      <c r="AA168" s="138"/>
      <c r="AB168" s="138"/>
      <c r="AC168" s="143"/>
      <c r="AD168" s="240"/>
      <c r="AE168" s="240"/>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139"/>
      <c r="BC168" s="139"/>
      <c r="BD168" s="139"/>
    </row>
    <row r="169" spans="1:56" ht="13.5">
      <c r="A169" s="37"/>
      <c r="B169" s="33"/>
      <c r="C169" s="33"/>
      <c r="D169" s="33"/>
      <c r="E169" s="33"/>
      <c r="F169" s="33"/>
      <c r="G169" s="33"/>
      <c r="H169" s="225"/>
      <c r="I169" s="226"/>
      <c r="J169" s="227"/>
      <c r="K169" s="228"/>
      <c r="L169" s="228"/>
      <c r="M169" s="228"/>
      <c r="N169" s="228"/>
      <c r="O169" s="228"/>
      <c r="P169" s="33"/>
      <c r="Q169" s="33"/>
      <c r="R169" s="37"/>
      <c r="S169" s="37"/>
      <c r="T169" s="33"/>
      <c r="U169" s="33"/>
      <c r="V169" s="33"/>
      <c r="W169" s="37"/>
      <c r="X169" s="37"/>
      <c r="Y169" s="232"/>
      <c r="Z169" s="177"/>
      <c r="AA169" s="138"/>
      <c r="AB169" s="138"/>
      <c r="AC169" s="143"/>
      <c r="AD169" s="240"/>
      <c r="AE169" s="240"/>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139"/>
      <c r="BC169" s="139"/>
      <c r="BD169" s="139"/>
    </row>
    <row r="170" spans="1:56" ht="13.5">
      <c r="A170" s="37"/>
      <c r="B170" s="33"/>
      <c r="C170" s="33"/>
      <c r="D170" s="33"/>
      <c r="E170" s="33"/>
      <c r="F170" s="33"/>
      <c r="G170" s="33"/>
      <c r="H170" s="225"/>
      <c r="I170" s="226"/>
      <c r="J170" s="227"/>
      <c r="K170" s="228"/>
      <c r="L170" s="228"/>
      <c r="M170" s="228"/>
      <c r="N170" s="228"/>
      <c r="O170" s="228"/>
      <c r="P170" s="33"/>
      <c r="Q170" s="33"/>
      <c r="R170" s="37"/>
      <c r="S170" s="37"/>
      <c r="T170" s="33"/>
      <c r="U170" s="33"/>
      <c r="V170" s="33"/>
      <c r="W170" s="37"/>
      <c r="X170" s="37"/>
      <c r="Y170" s="232"/>
      <c r="Z170" s="177"/>
      <c r="AA170" s="138"/>
      <c r="AB170" s="138"/>
      <c r="AC170" s="143"/>
      <c r="AD170" s="240"/>
      <c r="AE170" s="240"/>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139"/>
      <c r="BC170" s="139"/>
      <c r="BD170" s="139"/>
    </row>
    <row r="171" spans="1:56" ht="13.5">
      <c r="A171" s="37"/>
      <c r="B171" s="33"/>
      <c r="C171" s="33"/>
      <c r="D171" s="33"/>
      <c r="E171" s="33"/>
      <c r="F171" s="33"/>
      <c r="G171" s="33"/>
      <c r="H171" s="225"/>
      <c r="I171" s="226"/>
      <c r="J171" s="227"/>
      <c r="K171" s="228"/>
      <c r="L171" s="228"/>
      <c r="M171" s="228"/>
      <c r="N171" s="228"/>
      <c r="O171" s="228"/>
      <c r="P171" s="33"/>
      <c r="Q171" s="33"/>
      <c r="R171" s="37"/>
      <c r="S171" s="37"/>
      <c r="T171" s="33"/>
      <c r="U171" s="33"/>
      <c r="V171" s="33"/>
      <c r="W171" s="37"/>
      <c r="X171" s="37"/>
      <c r="Y171" s="232"/>
      <c r="Z171" s="177"/>
      <c r="AA171" s="138"/>
      <c r="AB171" s="138"/>
      <c r="AC171" s="143"/>
      <c r="AD171" s="240"/>
      <c r="AE171" s="240"/>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139"/>
      <c r="BC171" s="139"/>
      <c r="BD171" s="139"/>
    </row>
    <row r="172" spans="1:56" ht="13.5">
      <c r="A172" s="37"/>
      <c r="B172" s="33"/>
      <c r="C172" s="33"/>
      <c r="D172" s="33"/>
      <c r="E172" s="33"/>
      <c r="F172" s="33"/>
      <c r="G172" s="33"/>
      <c r="H172" s="225"/>
      <c r="I172" s="226"/>
      <c r="J172" s="227"/>
      <c r="K172" s="228"/>
      <c r="L172" s="228"/>
      <c r="M172" s="228"/>
      <c r="N172" s="228"/>
      <c r="O172" s="228"/>
      <c r="P172" s="33"/>
      <c r="Q172" s="33"/>
      <c r="R172" s="37"/>
      <c r="S172" s="37"/>
      <c r="T172" s="33"/>
      <c r="U172" s="33"/>
      <c r="V172" s="33"/>
      <c r="W172" s="37"/>
      <c r="X172" s="37"/>
      <c r="Y172" s="232"/>
      <c r="Z172" s="177"/>
      <c r="AA172" s="138"/>
      <c r="AB172" s="138"/>
      <c r="AC172" s="143"/>
      <c r="AD172" s="240"/>
      <c r="AE172" s="240"/>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139"/>
      <c r="BC172" s="139"/>
      <c r="BD172" s="139"/>
    </row>
    <row r="173" spans="1:56" ht="13.5">
      <c r="A173" s="37"/>
      <c r="B173" s="33"/>
      <c r="C173" s="33"/>
      <c r="D173" s="33"/>
      <c r="E173" s="33"/>
      <c r="F173" s="33"/>
      <c r="G173" s="33"/>
      <c r="H173" s="225"/>
      <c r="I173" s="226"/>
      <c r="J173" s="227"/>
      <c r="K173" s="228"/>
      <c r="L173" s="228"/>
      <c r="M173" s="228"/>
      <c r="N173" s="228"/>
      <c r="O173" s="228"/>
      <c r="P173" s="33"/>
      <c r="Q173" s="33"/>
      <c r="R173" s="37"/>
      <c r="S173" s="37"/>
      <c r="T173" s="33"/>
      <c r="U173" s="33"/>
      <c r="V173" s="33"/>
      <c r="W173" s="37"/>
      <c r="X173" s="37"/>
      <c r="Y173" s="232"/>
      <c r="Z173" s="177"/>
      <c r="AA173" s="138"/>
      <c r="AB173" s="138"/>
      <c r="AC173" s="143"/>
      <c r="AD173" s="240"/>
      <c r="AE173" s="240"/>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139"/>
      <c r="BC173" s="139"/>
      <c r="BD173" s="139"/>
    </row>
    <row r="174" spans="1:56" ht="13.5">
      <c r="A174" s="37"/>
      <c r="B174" s="33"/>
      <c r="C174" s="33"/>
      <c r="D174" s="33"/>
      <c r="E174" s="33"/>
      <c r="F174" s="33"/>
      <c r="G174" s="33"/>
      <c r="H174" s="225"/>
      <c r="I174" s="226"/>
      <c r="J174" s="227"/>
      <c r="K174" s="228"/>
      <c r="L174" s="228"/>
      <c r="M174" s="228"/>
      <c r="N174" s="228"/>
      <c r="O174" s="228"/>
      <c r="P174" s="33"/>
      <c r="Q174" s="33"/>
      <c r="R174" s="37"/>
      <c r="S174" s="37"/>
      <c r="T174" s="33"/>
      <c r="U174" s="33"/>
      <c r="V174" s="33"/>
      <c r="W174" s="37"/>
      <c r="X174" s="37"/>
      <c r="Y174" s="232"/>
      <c r="Z174" s="177"/>
      <c r="AA174" s="138"/>
      <c r="AB174" s="138"/>
      <c r="AC174" s="143"/>
      <c r="AD174" s="240"/>
      <c r="AE174" s="240"/>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139"/>
      <c r="BC174" s="139"/>
      <c r="BD174" s="139"/>
    </row>
    <row r="175" spans="1:56" ht="13.5">
      <c r="A175" s="37"/>
      <c r="B175" s="33"/>
      <c r="C175" s="33"/>
      <c r="D175" s="33"/>
      <c r="E175" s="33"/>
      <c r="F175" s="33"/>
      <c r="G175" s="33"/>
      <c r="H175" s="225"/>
      <c r="I175" s="226"/>
      <c r="J175" s="227"/>
      <c r="K175" s="228"/>
      <c r="L175" s="228"/>
      <c r="M175" s="228"/>
      <c r="N175" s="228"/>
      <c r="O175" s="228"/>
      <c r="P175" s="33"/>
      <c r="Q175" s="33"/>
      <c r="R175" s="37"/>
      <c r="S175" s="37"/>
      <c r="T175" s="33"/>
      <c r="U175" s="33"/>
      <c r="V175" s="33"/>
      <c r="W175" s="37"/>
      <c r="X175" s="37"/>
      <c r="Y175" s="232"/>
      <c r="Z175" s="177"/>
      <c r="AA175" s="138"/>
      <c r="AB175" s="138"/>
      <c r="AC175" s="143"/>
      <c r="AD175" s="240"/>
      <c r="AE175" s="240"/>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139"/>
      <c r="BC175" s="139"/>
      <c r="BD175" s="139"/>
    </row>
    <row r="176" spans="1:56" ht="13.5">
      <c r="A176" s="37"/>
      <c r="B176" s="33"/>
      <c r="C176" s="33"/>
      <c r="D176" s="33"/>
      <c r="E176" s="33"/>
      <c r="F176" s="33"/>
      <c r="G176" s="33"/>
      <c r="H176" s="225"/>
      <c r="I176" s="226"/>
      <c r="J176" s="227"/>
      <c r="K176" s="228"/>
      <c r="L176" s="228"/>
      <c r="M176" s="228"/>
      <c r="N176" s="228"/>
      <c r="O176" s="228"/>
      <c r="P176" s="33"/>
      <c r="Q176" s="33"/>
      <c r="R176" s="37"/>
      <c r="S176" s="37"/>
      <c r="T176" s="33"/>
      <c r="U176" s="33"/>
      <c r="V176" s="33"/>
      <c r="W176" s="37"/>
      <c r="X176" s="37"/>
      <c r="Y176" s="232"/>
      <c r="Z176" s="177"/>
      <c r="AA176" s="138"/>
      <c r="AB176" s="138"/>
      <c r="AC176" s="143"/>
      <c r="AD176" s="240"/>
      <c r="AE176" s="240"/>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139"/>
      <c r="BC176" s="139"/>
      <c r="BD176" s="139"/>
    </row>
    <row r="177" spans="1:56" ht="13.5">
      <c r="A177" s="37"/>
      <c r="B177" s="33"/>
      <c r="C177" s="33"/>
      <c r="D177" s="33"/>
      <c r="E177" s="33"/>
      <c r="F177" s="33"/>
      <c r="G177" s="33"/>
      <c r="H177" s="225"/>
      <c r="I177" s="226"/>
      <c r="J177" s="227"/>
      <c r="K177" s="228"/>
      <c r="L177" s="228"/>
      <c r="M177" s="228"/>
      <c r="N177" s="228"/>
      <c r="O177" s="228"/>
      <c r="P177" s="33"/>
      <c r="Q177" s="33"/>
      <c r="R177" s="37"/>
      <c r="S177" s="37"/>
      <c r="T177" s="33"/>
      <c r="U177" s="33"/>
      <c r="V177" s="33"/>
      <c r="W177" s="37"/>
      <c r="X177" s="37"/>
      <c r="Y177" s="232"/>
      <c r="Z177" s="177"/>
      <c r="AA177" s="138"/>
      <c r="AB177" s="138"/>
      <c r="AC177" s="143"/>
      <c r="AD177" s="240"/>
      <c r="AE177" s="240"/>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139"/>
      <c r="BC177" s="139"/>
      <c r="BD177" s="139"/>
    </row>
    <row r="178" spans="1:56" ht="13.5">
      <c r="A178" s="37"/>
      <c r="B178" s="33"/>
      <c r="C178" s="33"/>
      <c r="D178" s="33"/>
      <c r="E178" s="33"/>
      <c r="F178" s="33"/>
      <c r="G178" s="33"/>
      <c r="H178" s="225"/>
      <c r="I178" s="226"/>
      <c r="J178" s="227"/>
      <c r="K178" s="228"/>
      <c r="L178" s="228"/>
      <c r="M178" s="228"/>
      <c r="N178" s="228"/>
      <c r="O178" s="228"/>
      <c r="P178" s="33"/>
      <c r="Q178" s="33"/>
      <c r="R178" s="37"/>
      <c r="S178" s="37"/>
      <c r="T178" s="33"/>
      <c r="U178" s="33"/>
      <c r="V178" s="33"/>
      <c r="W178" s="37"/>
      <c r="X178" s="37"/>
      <c r="Y178" s="232"/>
      <c r="Z178" s="177"/>
      <c r="AA178" s="138"/>
      <c r="AB178" s="138"/>
      <c r="AC178" s="143"/>
      <c r="AD178" s="240"/>
      <c r="AE178" s="240"/>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139"/>
      <c r="BC178" s="139"/>
      <c r="BD178" s="139"/>
    </row>
    <row r="179" spans="1:56" ht="13.5">
      <c r="A179" s="37"/>
      <c r="B179" s="33"/>
      <c r="C179" s="33"/>
      <c r="D179" s="33"/>
      <c r="E179" s="33"/>
      <c r="F179" s="33"/>
      <c r="G179" s="33"/>
      <c r="H179" s="225"/>
      <c r="I179" s="226"/>
      <c r="J179" s="227"/>
      <c r="K179" s="228"/>
      <c r="L179" s="228"/>
      <c r="M179" s="228"/>
      <c r="N179" s="228"/>
      <c r="O179" s="228"/>
      <c r="P179" s="33"/>
      <c r="Q179" s="33"/>
      <c r="R179" s="37"/>
      <c r="S179" s="37"/>
      <c r="T179" s="33"/>
      <c r="U179" s="33"/>
      <c r="V179" s="33"/>
      <c r="W179" s="37"/>
      <c r="X179" s="37"/>
      <c r="Y179" s="232"/>
      <c r="Z179" s="177"/>
      <c r="AA179" s="138"/>
      <c r="AB179" s="138"/>
      <c r="AC179" s="143"/>
      <c r="AD179" s="240"/>
      <c r="AE179" s="240"/>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139"/>
      <c r="BC179" s="139"/>
      <c r="BD179" s="139"/>
    </row>
    <row r="180" spans="1:56" ht="13.5">
      <c r="A180" s="37"/>
      <c r="B180" s="33"/>
      <c r="C180" s="33"/>
      <c r="D180" s="33"/>
      <c r="E180" s="33"/>
      <c r="F180" s="33"/>
      <c r="G180" s="33"/>
      <c r="H180" s="225"/>
      <c r="I180" s="226"/>
      <c r="J180" s="227"/>
      <c r="K180" s="228"/>
      <c r="L180" s="228"/>
      <c r="M180" s="228"/>
      <c r="N180" s="228"/>
      <c r="O180" s="228"/>
      <c r="P180" s="33"/>
      <c r="Q180" s="33"/>
      <c r="R180" s="37"/>
      <c r="S180" s="37"/>
      <c r="T180" s="33"/>
      <c r="U180" s="33"/>
      <c r="V180" s="33"/>
      <c r="W180" s="37"/>
      <c r="X180" s="37"/>
      <c r="Y180" s="232"/>
      <c r="Z180" s="177"/>
      <c r="AA180" s="138"/>
      <c r="AB180" s="138"/>
      <c r="AC180" s="143"/>
      <c r="AD180" s="240"/>
      <c r="AE180" s="240"/>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139"/>
      <c r="BC180" s="139"/>
      <c r="BD180" s="139"/>
    </row>
    <row r="181" spans="1:56" ht="13.5">
      <c r="A181" s="37"/>
      <c r="B181" s="33"/>
      <c r="C181" s="33"/>
      <c r="D181" s="33"/>
      <c r="E181" s="33"/>
      <c r="F181" s="33"/>
      <c r="G181" s="33"/>
      <c r="H181" s="225"/>
      <c r="I181" s="226"/>
      <c r="J181" s="227"/>
      <c r="K181" s="228"/>
      <c r="L181" s="228"/>
      <c r="M181" s="228"/>
      <c r="N181" s="228"/>
      <c r="O181" s="228"/>
      <c r="P181" s="33"/>
      <c r="Q181" s="33"/>
      <c r="R181" s="37"/>
      <c r="S181" s="37"/>
      <c r="T181" s="33"/>
      <c r="U181" s="33"/>
      <c r="V181" s="33"/>
      <c r="W181" s="37"/>
      <c r="X181" s="37"/>
      <c r="Y181" s="232"/>
      <c r="Z181" s="177"/>
      <c r="AA181" s="138"/>
      <c r="AB181" s="138"/>
      <c r="AC181" s="143"/>
      <c r="AD181" s="240"/>
      <c r="AE181" s="240"/>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139"/>
      <c r="BC181" s="139"/>
      <c r="BD181" s="139"/>
    </row>
    <row r="182" spans="1:56" ht="13.5">
      <c r="A182" s="37"/>
      <c r="B182" s="33"/>
      <c r="C182" s="33"/>
      <c r="D182" s="33"/>
      <c r="E182" s="33"/>
      <c r="F182" s="33"/>
      <c r="G182" s="33"/>
      <c r="H182" s="225"/>
      <c r="I182" s="226"/>
      <c r="J182" s="227"/>
      <c r="K182" s="228"/>
      <c r="L182" s="228"/>
      <c r="M182" s="228"/>
      <c r="N182" s="228"/>
      <c r="O182" s="228"/>
      <c r="P182" s="33"/>
      <c r="Q182" s="33"/>
      <c r="R182" s="37"/>
      <c r="S182" s="37"/>
      <c r="T182" s="33"/>
      <c r="U182" s="33"/>
      <c r="V182" s="33"/>
      <c r="W182" s="37"/>
      <c r="X182" s="37"/>
      <c r="Y182" s="232"/>
      <c r="Z182" s="177"/>
      <c r="AA182" s="138"/>
      <c r="AB182" s="138"/>
      <c r="AC182" s="143"/>
      <c r="AD182" s="240"/>
      <c r="AE182" s="240"/>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139"/>
      <c r="BC182" s="139"/>
      <c r="BD182" s="139"/>
    </row>
    <row r="183" spans="1:56" ht="13.5">
      <c r="A183" s="37"/>
      <c r="B183" s="33"/>
      <c r="C183" s="33"/>
      <c r="D183" s="33"/>
      <c r="E183" s="33"/>
      <c r="F183" s="33"/>
      <c r="G183" s="33"/>
      <c r="H183" s="225"/>
      <c r="I183" s="226"/>
      <c r="J183" s="227"/>
      <c r="K183" s="228"/>
      <c r="L183" s="228"/>
      <c r="M183" s="228"/>
      <c r="N183" s="228"/>
      <c r="O183" s="228"/>
      <c r="P183" s="33"/>
      <c r="Q183" s="33"/>
      <c r="R183" s="37"/>
      <c r="S183" s="37"/>
      <c r="T183" s="33"/>
      <c r="U183" s="33"/>
      <c r="V183" s="33"/>
      <c r="W183" s="37"/>
      <c r="X183" s="37"/>
      <c r="Y183" s="232"/>
      <c r="Z183" s="177"/>
      <c r="AA183" s="138"/>
      <c r="AB183" s="138"/>
      <c r="AC183" s="143"/>
      <c r="AD183" s="240"/>
      <c r="AE183" s="240"/>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139"/>
      <c r="BC183" s="139"/>
      <c r="BD183" s="139"/>
    </row>
    <row r="184" spans="1:56" ht="13.5">
      <c r="A184" s="37"/>
      <c r="B184" s="33"/>
      <c r="C184" s="33"/>
      <c r="D184" s="33"/>
      <c r="E184" s="33"/>
      <c r="F184" s="33"/>
      <c r="G184" s="33"/>
      <c r="H184" s="225"/>
      <c r="I184" s="226"/>
      <c r="J184" s="227"/>
      <c r="K184" s="228"/>
      <c r="L184" s="228"/>
      <c r="M184" s="228"/>
      <c r="N184" s="228"/>
      <c r="O184" s="228"/>
      <c r="P184" s="33"/>
      <c r="Q184" s="33"/>
      <c r="R184" s="37"/>
      <c r="S184" s="37"/>
      <c r="T184" s="33"/>
      <c r="U184" s="33"/>
      <c r="V184" s="33"/>
      <c r="W184" s="37"/>
      <c r="X184" s="37"/>
      <c r="Y184" s="232"/>
      <c r="Z184" s="177"/>
      <c r="AA184" s="138"/>
      <c r="AB184" s="138"/>
      <c r="AC184" s="143"/>
      <c r="AD184" s="240"/>
      <c r="AE184" s="240"/>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139"/>
      <c r="BC184" s="139"/>
      <c r="BD184" s="139"/>
    </row>
    <row r="185" spans="1:56" ht="13.5">
      <c r="A185" s="37"/>
      <c r="B185" s="33"/>
      <c r="C185" s="33"/>
      <c r="D185" s="33"/>
      <c r="E185" s="33"/>
      <c r="F185" s="33"/>
      <c r="G185" s="33"/>
      <c r="H185" s="225"/>
      <c r="I185" s="226"/>
      <c r="J185" s="227"/>
      <c r="K185" s="228"/>
      <c r="L185" s="228"/>
      <c r="M185" s="228"/>
      <c r="N185" s="228"/>
      <c r="O185" s="228"/>
      <c r="P185" s="33"/>
      <c r="Q185" s="33"/>
      <c r="R185" s="37"/>
      <c r="S185" s="37"/>
      <c r="T185" s="33"/>
      <c r="U185" s="33"/>
      <c r="V185" s="33"/>
      <c r="W185" s="37"/>
      <c r="X185" s="37"/>
      <c r="Y185" s="232"/>
      <c r="Z185" s="177"/>
      <c r="AA185" s="138"/>
      <c r="AB185" s="138"/>
      <c r="AC185" s="143"/>
      <c r="AD185" s="240"/>
      <c r="AE185" s="240"/>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139"/>
      <c r="BC185" s="139"/>
      <c r="BD185" s="139"/>
    </row>
    <row r="186" spans="1:56" ht="13.5">
      <c r="A186" s="37"/>
      <c r="B186" s="33"/>
      <c r="C186" s="33"/>
      <c r="D186" s="33"/>
      <c r="E186" s="33"/>
      <c r="F186" s="33"/>
      <c r="G186" s="33"/>
      <c r="H186" s="225"/>
      <c r="I186" s="226"/>
      <c r="J186" s="227"/>
      <c r="K186" s="228"/>
      <c r="L186" s="228"/>
      <c r="M186" s="228"/>
      <c r="N186" s="228"/>
      <c r="O186" s="228"/>
      <c r="P186" s="33"/>
      <c r="Q186" s="33"/>
      <c r="R186" s="37"/>
      <c r="S186" s="37"/>
      <c r="T186" s="33"/>
      <c r="U186" s="33"/>
      <c r="V186" s="33"/>
      <c r="W186" s="37"/>
      <c r="X186" s="37"/>
      <c r="Y186" s="232"/>
      <c r="Z186" s="177"/>
      <c r="AA186" s="138"/>
      <c r="AB186" s="138"/>
      <c r="AC186" s="143"/>
      <c r="AD186" s="240"/>
      <c r="AE186" s="240"/>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139"/>
      <c r="BC186" s="139"/>
      <c r="BD186" s="139"/>
    </row>
    <row r="187" spans="1:56" ht="13.5">
      <c r="A187" s="37"/>
      <c r="B187" s="33"/>
      <c r="C187" s="33"/>
      <c r="D187" s="33"/>
      <c r="E187" s="33"/>
      <c r="F187" s="33"/>
      <c r="G187" s="33"/>
      <c r="H187" s="225"/>
      <c r="I187" s="226"/>
      <c r="J187" s="227"/>
      <c r="K187" s="228"/>
      <c r="L187" s="228"/>
      <c r="M187" s="228"/>
      <c r="N187" s="228"/>
      <c r="O187" s="228"/>
      <c r="P187" s="33"/>
      <c r="Q187" s="33"/>
      <c r="R187" s="37"/>
      <c r="S187" s="37"/>
      <c r="T187" s="33"/>
      <c r="U187" s="33"/>
      <c r="V187" s="33"/>
      <c r="W187" s="37"/>
      <c r="X187" s="37"/>
      <c r="Y187" s="232"/>
      <c r="Z187" s="177"/>
      <c r="AA187" s="138"/>
      <c r="AB187" s="138"/>
      <c r="AC187" s="143"/>
      <c r="AD187" s="240"/>
      <c r="AE187" s="240"/>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139"/>
      <c r="BC187" s="139"/>
      <c r="BD187" s="139"/>
    </row>
    <row r="188" spans="1:56" ht="13.5">
      <c r="A188" s="37"/>
      <c r="B188" s="33"/>
      <c r="C188" s="33"/>
      <c r="D188" s="33"/>
      <c r="E188" s="33"/>
      <c r="F188" s="33"/>
      <c r="G188" s="33"/>
      <c r="H188" s="225"/>
      <c r="I188" s="226"/>
      <c r="J188" s="227"/>
      <c r="K188" s="228"/>
      <c r="L188" s="228"/>
      <c r="M188" s="228"/>
      <c r="N188" s="228"/>
      <c r="O188" s="228"/>
      <c r="P188" s="33"/>
      <c r="Q188" s="33"/>
      <c r="R188" s="37"/>
      <c r="S188" s="37"/>
      <c r="T188" s="33"/>
      <c r="U188" s="33"/>
      <c r="V188" s="33"/>
      <c r="W188" s="37"/>
      <c r="X188" s="37"/>
      <c r="Y188" s="232"/>
      <c r="Z188" s="177"/>
      <c r="AA188" s="138"/>
      <c r="AB188" s="138"/>
      <c r="AC188" s="143"/>
      <c r="AD188" s="240"/>
      <c r="AE188" s="240"/>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139"/>
      <c r="BC188" s="139"/>
      <c r="BD188" s="139"/>
    </row>
    <row r="189" spans="1:56" ht="13.5">
      <c r="A189" s="37"/>
      <c r="B189" s="33"/>
      <c r="C189" s="33"/>
      <c r="D189" s="33"/>
      <c r="E189" s="33"/>
      <c r="F189" s="33"/>
      <c r="G189" s="33"/>
      <c r="H189" s="225"/>
      <c r="I189" s="226"/>
      <c r="J189" s="227"/>
      <c r="K189" s="228"/>
      <c r="L189" s="228"/>
      <c r="M189" s="228"/>
      <c r="N189" s="228"/>
      <c r="O189" s="228"/>
      <c r="P189" s="33"/>
      <c r="Q189" s="33"/>
      <c r="R189" s="37"/>
      <c r="S189" s="37"/>
      <c r="T189" s="33"/>
      <c r="U189" s="33"/>
      <c r="V189" s="33"/>
      <c r="W189" s="37"/>
      <c r="X189" s="37"/>
      <c r="Y189" s="232"/>
      <c r="Z189" s="177"/>
      <c r="AA189" s="138"/>
      <c r="AB189" s="138"/>
      <c r="AC189" s="143"/>
      <c r="AD189" s="240"/>
      <c r="AE189" s="240"/>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139"/>
      <c r="BC189" s="139"/>
      <c r="BD189" s="139"/>
    </row>
    <row r="190" spans="1:56" ht="13.5">
      <c r="A190" s="37"/>
      <c r="B190" s="33"/>
      <c r="C190" s="33"/>
      <c r="D190" s="33"/>
      <c r="E190" s="33"/>
      <c r="F190" s="33"/>
      <c r="G190" s="33"/>
      <c r="H190" s="225"/>
      <c r="I190" s="226"/>
      <c r="J190" s="227"/>
      <c r="K190" s="228"/>
      <c r="L190" s="228"/>
      <c r="M190" s="228"/>
      <c r="N190" s="228"/>
      <c r="O190" s="228"/>
      <c r="P190" s="33"/>
      <c r="Q190" s="33"/>
      <c r="R190" s="37"/>
      <c r="S190" s="37"/>
      <c r="T190" s="33"/>
      <c r="U190" s="33"/>
      <c r="V190" s="33"/>
      <c r="W190" s="37"/>
      <c r="X190" s="37"/>
      <c r="Y190" s="232"/>
      <c r="Z190" s="177"/>
      <c r="AA190" s="138"/>
      <c r="AB190" s="138"/>
      <c r="AC190" s="143"/>
      <c r="AD190" s="240"/>
      <c r="AE190" s="240"/>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139"/>
      <c r="BC190" s="139"/>
      <c r="BD190" s="139"/>
    </row>
    <row r="191" spans="1:56" ht="13.5">
      <c r="A191" s="37"/>
      <c r="B191" s="33"/>
      <c r="C191" s="33"/>
      <c r="D191" s="33"/>
      <c r="E191" s="33"/>
      <c r="F191" s="33"/>
      <c r="G191" s="33"/>
      <c r="H191" s="225"/>
      <c r="I191" s="226"/>
      <c r="J191" s="227"/>
      <c r="K191" s="228"/>
      <c r="L191" s="228"/>
      <c r="M191" s="228"/>
      <c r="N191" s="228"/>
      <c r="O191" s="228"/>
      <c r="P191" s="33"/>
      <c r="Q191" s="33"/>
      <c r="R191" s="37"/>
      <c r="S191" s="37"/>
      <c r="T191" s="33"/>
      <c r="U191" s="33"/>
      <c r="V191" s="33"/>
      <c r="W191" s="37"/>
      <c r="X191" s="37"/>
      <c r="Y191" s="232"/>
      <c r="Z191" s="177"/>
      <c r="AA191" s="138"/>
      <c r="AB191" s="138"/>
      <c r="AC191" s="143"/>
      <c r="AD191" s="240"/>
      <c r="AE191" s="240"/>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139"/>
      <c r="BC191" s="139"/>
      <c r="BD191" s="139"/>
    </row>
    <row r="192" spans="1:56" ht="13.5">
      <c r="A192" s="37"/>
      <c r="B192" s="33"/>
      <c r="C192" s="33"/>
      <c r="D192" s="33"/>
      <c r="E192" s="33"/>
      <c r="F192" s="33"/>
      <c r="G192" s="33"/>
      <c r="H192" s="225"/>
      <c r="I192" s="226"/>
      <c r="J192" s="227"/>
      <c r="K192" s="228"/>
      <c r="L192" s="228"/>
      <c r="M192" s="228"/>
      <c r="N192" s="228"/>
      <c r="O192" s="228"/>
      <c r="P192" s="33"/>
      <c r="Q192" s="33"/>
      <c r="R192" s="37"/>
      <c r="S192" s="37"/>
      <c r="T192" s="33"/>
      <c r="U192" s="33"/>
      <c r="V192" s="33"/>
      <c r="W192" s="37"/>
      <c r="X192" s="37"/>
      <c r="Y192" s="232"/>
      <c r="Z192" s="177"/>
      <c r="AA192" s="138"/>
      <c r="AB192" s="138"/>
      <c r="AC192" s="143"/>
      <c r="AD192" s="240"/>
      <c r="AE192" s="240"/>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139"/>
      <c r="BC192" s="139"/>
      <c r="BD192" s="139"/>
    </row>
    <row r="193" spans="1:56" ht="13.5">
      <c r="A193" s="37"/>
      <c r="B193" s="33"/>
      <c r="C193" s="33"/>
      <c r="D193" s="33"/>
      <c r="E193" s="33"/>
      <c r="F193" s="33"/>
      <c r="G193" s="33"/>
      <c r="H193" s="225"/>
      <c r="I193" s="226"/>
      <c r="J193" s="227"/>
      <c r="K193" s="228"/>
      <c r="L193" s="228"/>
      <c r="M193" s="228"/>
      <c r="N193" s="228"/>
      <c r="O193" s="228"/>
      <c r="P193" s="33"/>
      <c r="Q193" s="33"/>
      <c r="R193" s="37"/>
      <c r="S193" s="37"/>
      <c r="T193" s="33"/>
      <c r="U193" s="33"/>
      <c r="V193" s="33"/>
      <c r="W193" s="37"/>
      <c r="X193" s="37"/>
      <c r="Y193" s="232"/>
      <c r="Z193" s="177"/>
      <c r="AA193" s="138"/>
      <c r="AB193" s="138"/>
      <c r="AC193" s="143"/>
      <c r="AD193" s="240"/>
      <c r="AE193" s="240"/>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139"/>
      <c r="BC193" s="139"/>
      <c r="BD193" s="139"/>
    </row>
    <row r="194" spans="1:56" ht="13.5">
      <c r="A194" s="37"/>
      <c r="B194" s="33"/>
      <c r="C194" s="33"/>
      <c r="D194" s="33"/>
      <c r="E194" s="33"/>
      <c r="F194" s="33"/>
      <c r="G194" s="33"/>
      <c r="H194" s="225"/>
      <c r="I194" s="226"/>
      <c r="J194" s="227"/>
      <c r="K194" s="228"/>
      <c r="L194" s="228"/>
      <c r="M194" s="228"/>
      <c r="N194" s="228"/>
      <c r="O194" s="228"/>
      <c r="P194" s="33"/>
      <c r="Q194" s="33"/>
      <c r="R194" s="37"/>
      <c r="S194" s="37"/>
      <c r="T194" s="33"/>
      <c r="U194" s="33"/>
      <c r="V194" s="33"/>
      <c r="W194" s="37"/>
      <c r="X194" s="37"/>
      <c r="Y194" s="232"/>
      <c r="Z194" s="177"/>
      <c r="AA194" s="138"/>
      <c r="AB194" s="138"/>
      <c r="AC194" s="143"/>
      <c r="AD194" s="240"/>
      <c r="AE194" s="240"/>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139"/>
      <c r="BC194" s="139"/>
      <c r="BD194" s="139"/>
    </row>
    <row r="195" spans="1:56" ht="13.5">
      <c r="A195" s="37"/>
      <c r="B195" s="33"/>
      <c r="C195" s="33"/>
      <c r="D195" s="33"/>
      <c r="E195" s="33"/>
      <c r="F195" s="33"/>
      <c r="G195" s="33"/>
      <c r="H195" s="225"/>
      <c r="I195" s="226"/>
      <c r="J195" s="227"/>
      <c r="K195" s="228"/>
      <c r="L195" s="228"/>
      <c r="M195" s="228"/>
      <c r="N195" s="228"/>
      <c r="O195" s="228"/>
      <c r="P195" s="33"/>
      <c r="Q195" s="33"/>
      <c r="R195" s="37"/>
      <c r="S195" s="37"/>
      <c r="T195" s="33"/>
      <c r="U195" s="33"/>
      <c r="V195" s="33"/>
      <c r="W195" s="37"/>
      <c r="X195" s="37"/>
      <c r="Y195" s="232"/>
      <c r="Z195" s="177"/>
      <c r="AA195" s="138"/>
      <c r="AB195" s="138"/>
      <c r="AC195" s="143"/>
      <c r="AD195" s="240"/>
      <c r="AE195" s="240"/>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139"/>
      <c r="BC195" s="139"/>
      <c r="BD195" s="139"/>
    </row>
    <row r="196" spans="1:56" ht="13.5">
      <c r="A196" s="37"/>
      <c r="B196" s="33"/>
      <c r="C196" s="33"/>
      <c r="D196" s="33"/>
      <c r="E196" s="33"/>
      <c r="F196" s="33"/>
      <c r="G196" s="33"/>
      <c r="H196" s="225"/>
      <c r="I196" s="226"/>
      <c r="J196" s="227"/>
      <c r="K196" s="228"/>
      <c r="L196" s="228"/>
      <c r="M196" s="228"/>
      <c r="N196" s="228"/>
      <c r="O196" s="228"/>
      <c r="P196" s="33"/>
      <c r="Q196" s="33"/>
      <c r="R196" s="37"/>
      <c r="S196" s="37"/>
      <c r="T196" s="33"/>
      <c r="U196" s="33"/>
      <c r="V196" s="33"/>
      <c r="W196" s="37"/>
      <c r="X196" s="37"/>
      <c r="Y196" s="232"/>
      <c r="Z196" s="177"/>
      <c r="AA196" s="138"/>
      <c r="AB196" s="138"/>
      <c r="AC196" s="143"/>
      <c r="AD196" s="240"/>
      <c r="AE196" s="240"/>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139"/>
      <c r="BC196" s="139"/>
      <c r="BD196" s="139"/>
    </row>
    <row r="197" spans="1:56" ht="13.5">
      <c r="A197" s="37"/>
      <c r="B197" s="33"/>
      <c r="C197" s="33"/>
      <c r="D197" s="33"/>
      <c r="E197" s="33"/>
      <c r="F197" s="33"/>
      <c r="G197" s="33"/>
      <c r="H197" s="225"/>
      <c r="I197" s="226"/>
      <c r="J197" s="227"/>
      <c r="K197" s="228"/>
      <c r="L197" s="228"/>
      <c r="M197" s="228"/>
      <c r="N197" s="228"/>
      <c r="O197" s="228"/>
      <c r="P197" s="33"/>
      <c r="Q197" s="33"/>
      <c r="R197" s="37"/>
      <c r="S197" s="37"/>
      <c r="T197" s="33"/>
      <c r="U197" s="33"/>
      <c r="V197" s="33"/>
      <c r="W197" s="37"/>
      <c r="X197" s="37"/>
      <c r="Y197" s="232"/>
      <c r="Z197" s="177"/>
      <c r="AA197" s="138"/>
      <c r="AB197" s="138"/>
      <c r="AC197" s="143"/>
      <c r="AD197" s="240"/>
      <c r="AE197" s="240"/>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139"/>
      <c r="BC197" s="139"/>
      <c r="BD197" s="139"/>
    </row>
    <row r="198" spans="1:56" ht="13.5">
      <c r="A198" s="37"/>
      <c r="B198" s="33"/>
      <c r="C198" s="33"/>
      <c r="D198" s="33"/>
      <c r="E198" s="33"/>
      <c r="F198" s="33"/>
      <c r="G198" s="33"/>
      <c r="H198" s="225"/>
      <c r="I198" s="226"/>
      <c r="J198" s="227"/>
      <c r="K198" s="228"/>
      <c r="L198" s="228"/>
      <c r="M198" s="228"/>
      <c r="N198" s="228"/>
      <c r="O198" s="228"/>
      <c r="P198" s="33"/>
      <c r="Q198" s="33"/>
      <c r="R198" s="37"/>
      <c r="S198" s="37"/>
      <c r="T198" s="33"/>
      <c r="U198" s="33"/>
      <c r="V198" s="33"/>
      <c r="W198" s="37"/>
      <c r="X198" s="37"/>
      <c r="Y198" s="232"/>
      <c r="Z198" s="177"/>
      <c r="AA198" s="138"/>
      <c r="AB198" s="138"/>
      <c r="AC198" s="143"/>
      <c r="AD198" s="240"/>
      <c r="AE198" s="240"/>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139"/>
      <c r="BC198" s="139"/>
      <c r="BD198" s="139"/>
    </row>
    <row r="199" spans="1:56" ht="13.5">
      <c r="A199" s="37"/>
      <c r="B199" s="33"/>
      <c r="C199" s="33"/>
      <c r="D199" s="33"/>
      <c r="E199" s="33"/>
      <c r="F199" s="33"/>
      <c r="G199" s="33"/>
      <c r="H199" s="225"/>
      <c r="I199" s="226"/>
      <c r="J199" s="227"/>
      <c r="K199" s="228"/>
      <c r="L199" s="228"/>
      <c r="M199" s="228"/>
      <c r="N199" s="228"/>
      <c r="O199" s="228"/>
      <c r="P199" s="33"/>
      <c r="Q199" s="33"/>
      <c r="R199" s="37"/>
      <c r="S199" s="37"/>
      <c r="T199" s="33"/>
      <c r="U199" s="33"/>
      <c r="V199" s="33"/>
      <c r="W199" s="37"/>
      <c r="X199" s="37"/>
      <c r="Y199" s="232"/>
      <c r="Z199" s="177"/>
      <c r="AA199" s="138"/>
      <c r="AB199" s="138"/>
      <c r="AC199" s="143"/>
      <c r="AD199" s="240"/>
      <c r="AE199" s="240"/>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139"/>
      <c r="BC199" s="139"/>
      <c r="BD199" s="139"/>
    </row>
    <row r="200" spans="1:56" ht="13.5">
      <c r="A200" s="37"/>
      <c r="B200" s="33"/>
      <c r="C200" s="33"/>
      <c r="D200" s="33"/>
      <c r="E200" s="33"/>
      <c r="F200" s="33"/>
      <c r="G200" s="33"/>
      <c r="H200" s="225"/>
      <c r="I200" s="226"/>
      <c r="J200" s="227"/>
      <c r="K200" s="228"/>
      <c r="L200" s="228"/>
      <c r="M200" s="228"/>
      <c r="N200" s="228"/>
      <c r="O200" s="228"/>
      <c r="P200" s="33"/>
      <c r="Q200" s="33"/>
      <c r="R200" s="37"/>
      <c r="S200" s="37"/>
      <c r="T200" s="33"/>
      <c r="U200" s="33"/>
      <c r="V200" s="33"/>
      <c r="W200" s="37"/>
      <c r="X200" s="37"/>
      <c r="Y200" s="232"/>
      <c r="Z200" s="177"/>
      <c r="AA200" s="138"/>
      <c r="AB200" s="138"/>
      <c r="AC200" s="143"/>
      <c r="AD200" s="240"/>
      <c r="AE200" s="240"/>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139"/>
      <c r="BC200" s="139"/>
      <c r="BD200" s="139"/>
    </row>
    <row r="201" spans="1:56" ht="13.5">
      <c r="A201" s="37"/>
      <c r="B201" s="33"/>
      <c r="C201" s="33"/>
      <c r="D201" s="33"/>
      <c r="E201" s="33"/>
      <c r="F201" s="33"/>
      <c r="G201" s="33"/>
      <c r="H201" s="225"/>
      <c r="I201" s="226"/>
      <c r="J201" s="227"/>
      <c r="K201" s="228"/>
      <c r="L201" s="228"/>
      <c r="M201" s="228"/>
      <c r="N201" s="228"/>
      <c r="O201" s="228"/>
      <c r="P201" s="33"/>
      <c r="Q201" s="33"/>
      <c r="R201" s="37"/>
      <c r="S201" s="37"/>
      <c r="T201" s="33"/>
      <c r="U201" s="33"/>
      <c r="V201" s="33"/>
      <c r="W201" s="37"/>
      <c r="X201" s="37"/>
      <c r="Y201" s="232"/>
      <c r="Z201" s="177"/>
      <c r="AA201" s="138"/>
      <c r="AB201" s="138"/>
      <c r="AC201" s="143"/>
      <c r="AD201" s="240"/>
      <c r="AE201" s="240"/>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139"/>
      <c r="BC201" s="139"/>
      <c r="BD201" s="139"/>
    </row>
    <row r="202" spans="1:56" ht="13.5">
      <c r="A202" s="37"/>
      <c r="B202" s="33"/>
      <c r="C202" s="33"/>
      <c r="D202" s="33"/>
      <c r="E202" s="33"/>
      <c r="F202" s="33"/>
      <c r="G202" s="33"/>
      <c r="H202" s="225"/>
      <c r="I202" s="226"/>
      <c r="J202" s="227"/>
      <c r="K202" s="228"/>
      <c r="L202" s="228"/>
      <c r="M202" s="228"/>
      <c r="N202" s="228"/>
      <c r="O202" s="228"/>
      <c r="P202" s="33"/>
      <c r="Q202" s="33"/>
      <c r="R202" s="37"/>
      <c r="S202" s="37"/>
      <c r="T202" s="33"/>
      <c r="U202" s="33"/>
      <c r="V202" s="33"/>
      <c r="W202" s="37"/>
      <c r="X202" s="37"/>
      <c r="Y202" s="232"/>
      <c r="Z202" s="177"/>
      <c r="AA202" s="138"/>
      <c r="AB202" s="138"/>
      <c r="AC202" s="143"/>
      <c r="AD202" s="240"/>
      <c r="AE202" s="240"/>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139"/>
      <c r="BC202" s="139"/>
      <c r="BD202" s="139"/>
    </row>
    <row r="203" spans="1:56" ht="13.5">
      <c r="A203" s="37"/>
      <c r="B203" s="33"/>
      <c r="C203" s="33"/>
      <c r="D203" s="33"/>
      <c r="E203" s="33"/>
      <c r="F203" s="33"/>
      <c r="G203" s="33"/>
      <c r="H203" s="225"/>
      <c r="I203" s="226"/>
      <c r="J203" s="227"/>
      <c r="K203" s="228"/>
      <c r="L203" s="228"/>
      <c r="M203" s="228"/>
      <c r="N203" s="228"/>
      <c r="O203" s="228"/>
      <c r="P203" s="33"/>
      <c r="Q203" s="33"/>
      <c r="R203" s="37"/>
      <c r="S203" s="37"/>
      <c r="T203" s="33"/>
      <c r="U203" s="33"/>
      <c r="V203" s="33"/>
      <c r="W203" s="37"/>
      <c r="X203" s="37"/>
      <c r="Y203" s="232"/>
      <c r="Z203" s="177"/>
      <c r="AA203" s="138"/>
      <c r="AB203" s="138"/>
      <c r="AC203" s="143"/>
      <c r="AD203" s="240"/>
      <c r="AE203" s="240"/>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139"/>
      <c r="BC203" s="139"/>
      <c r="BD203" s="139"/>
    </row>
    <row r="204" spans="1:56" ht="13.5">
      <c r="A204" s="37"/>
      <c r="B204" s="33"/>
      <c r="C204" s="33"/>
      <c r="D204" s="33"/>
      <c r="E204" s="33"/>
      <c r="F204" s="33"/>
      <c r="G204" s="33"/>
      <c r="H204" s="225"/>
      <c r="I204" s="226"/>
      <c r="J204" s="227"/>
      <c r="K204" s="228"/>
      <c r="L204" s="228"/>
      <c r="M204" s="228"/>
      <c r="N204" s="228"/>
      <c r="O204" s="228"/>
      <c r="P204" s="33"/>
      <c r="Q204" s="33"/>
      <c r="R204" s="37"/>
      <c r="S204" s="37"/>
      <c r="T204" s="33"/>
      <c r="U204" s="33"/>
      <c r="V204" s="33"/>
      <c r="W204" s="37"/>
      <c r="X204" s="37"/>
      <c r="Y204" s="232"/>
      <c r="Z204" s="177"/>
      <c r="AA204" s="138"/>
      <c r="AB204" s="138"/>
      <c r="AC204" s="143"/>
      <c r="AD204" s="240"/>
      <c r="AE204" s="240"/>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139"/>
      <c r="BC204" s="139"/>
      <c r="BD204" s="139"/>
    </row>
    <row r="205" spans="1:56" ht="13.5">
      <c r="A205" s="37"/>
      <c r="B205" s="33"/>
      <c r="C205" s="33"/>
      <c r="D205" s="33"/>
      <c r="E205" s="33"/>
      <c r="F205" s="33"/>
      <c r="G205" s="33"/>
      <c r="H205" s="225"/>
      <c r="I205" s="226"/>
      <c r="J205" s="227"/>
      <c r="K205" s="228"/>
      <c r="L205" s="228"/>
      <c r="M205" s="228"/>
      <c r="N205" s="228"/>
      <c r="O205" s="228"/>
      <c r="P205" s="33"/>
      <c r="Q205" s="33"/>
      <c r="R205" s="37"/>
      <c r="S205" s="37"/>
      <c r="T205" s="33"/>
      <c r="U205" s="33"/>
      <c r="V205" s="33"/>
      <c r="W205" s="37"/>
      <c r="X205" s="37"/>
      <c r="Y205" s="232"/>
      <c r="Z205" s="177"/>
      <c r="AA205" s="138"/>
      <c r="AB205" s="138"/>
      <c r="AC205" s="143"/>
      <c r="AD205" s="240"/>
      <c r="AE205" s="240"/>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139"/>
      <c r="BC205" s="139"/>
      <c r="BD205" s="139"/>
    </row>
    <row r="206" spans="1:56" ht="13.5">
      <c r="A206" s="37"/>
      <c r="B206" s="33"/>
      <c r="C206" s="33"/>
      <c r="D206" s="33"/>
      <c r="E206" s="33"/>
      <c r="F206" s="33"/>
      <c r="G206" s="33"/>
      <c r="H206" s="225"/>
      <c r="I206" s="226"/>
      <c r="J206" s="227"/>
      <c r="K206" s="228"/>
      <c r="L206" s="228"/>
      <c r="M206" s="228"/>
      <c r="N206" s="228"/>
      <c r="O206" s="228"/>
      <c r="P206" s="33"/>
      <c r="Q206" s="33"/>
      <c r="R206" s="37"/>
      <c r="S206" s="37"/>
      <c r="T206" s="33"/>
      <c r="U206" s="33"/>
      <c r="V206" s="33"/>
      <c r="W206" s="37"/>
      <c r="X206" s="37"/>
      <c r="Y206" s="232"/>
      <c r="Z206" s="177"/>
      <c r="AA206" s="138"/>
      <c r="AB206" s="138"/>
      <c r="AC206" s="143"/>
      <c r="AD206" s="240"/>
      <c r="AE206" s="240"/>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139"/>
      <c r="BC206" s="139"/>
      <c r="BD206" s="139"/>
    </row>
    <row r="207" spans="1:56" ht="13.5">
      <c r="A207" s="37"/>
      <c r="B207" s="33"/>
      <c r="C207" s="33"/>
      <c r="D207" s="33"/>
      <c r="E207" s="33"/>
      <c r="F207" s="33"/>
      <c r="G207" s="33"/>
      <c r="H207" s="225"/>
      <c r="I207" s="226"/>
      <c r="J207" s="227"/>
      <c r="K207" s="228"/>
      <c r="L207" s="228"/>
      <c r="M207" s="228"/>
      <c r="N207" s="228"/>
      <c r="O207" s="228"/>
      <c r="P207" s="33"/>
      <c r="Q207" s="33"/>
      <c r="R207" s="37"/>
      <c r="S207" s="37"/>
      <c r="T207" s="33"/>
      <c r="U207" s="33"/>
      <c r="V207" s="33"/>
      <c r="W207" s="37"/>
      <c r="X207" s="37"/>
      <c r="Y207" s="232"/>
      <c r="Z207" s="177"/>
      <c r="AA207" s="138"/>
      <c r="AB207" s="138"/>
      <c r="AC207" s="143"/>
      <c r="AD207" s="240"/>
      <c r="AE207" s="240"/>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139"/>
      <c r="BC207" s="139"/>
      <c r="BD207" s="139"/>
    </row>
    <row r="208" spans="1:56" ht="13.5">
      <c r="A208" s="37"/>
      <c r="B208" s="33"/>
      <c r="C208" s="33"/>
      <c r="D208" s="33"/>
      <c r="E208" s="33"/>
      <c r="F208" s="33"/>
      <c r="G208" s="33"/>
      <c r="H208" s="225"/>
      <c r="I208" s="226"/>
      <c r="J208" s="227"/>
      <c r="K208" s="228"/>
      <c r="L208" s="228"/>
      <c r="M208" s="228"/>
      <c r="N208" s="228"/>
      <c r="O208" s="228"/>
      <c r="P208" s="33"/>
      <c r="Q208" s="33"/>
      <c r="R208" s="37"/>
      <c r="S208" s="37"/>
      <c r="T208" s="33"/>
      <c r="U208" s="33"/>
      <c r="V208" s="33"/>
      <c r="W208" s="37"/>
      <c r="X208" s="37"/>
      <c r="Y208" s="232"/>
      <c r="Z208" s="177"/>
      <c r="AA208" s="138"/>
      <c r="AB208" s="138"/>
      <c r="AC208" s="143"/>
      <c r="AD208" s="240"/>
      <c r="AE208" s="240"/>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139"/>
      <c r="BC208" s="139"/>
      <c r="BD208" s="139"/>
    </row>
    <row r="209" spans="1:56" ht="13.5">
      <c r="A209" s="37"/>
      <c r="B209" s="33"/>
      <c r="C209" s="33"/>
      <c r="D209" s="33"/>
      <c r="E209" s="33"/>
      <c r="F209" s="33"/>
      <c r="G209" s="33"/>
      <c r="H209" s="225"/>
      <c r="I209" s="226"/>
      <c r="J209" s="227"/>
      <c r="K209" s="228"/>
      <c r="L209" s="228"/>
      <c r="M209" s="228"/>
      <c r="N209" s="228"/>
      <c r="O209" s="228"/>
      <c r="P209" s="33"/>
      <c r="Q209" s="33"/>
      <c r="R209" s="37"/>
      <c r="S209" s="37"/>
      <c r="T209" s="33"/>
      <c r="U209" s="33"/>
      <c r="V209" s="33"/>
      <c r="W209" s="37"/>
      <c r="X209" s="37"/>
      <c r="Y209" s="232"/>
      <c r="Z209" s="177"/>
      <c r="AA209" s="138"/>
      <c r="AB209" s="138"/>
      <c r="AC209" s="143"/>
      <c r="AD209" s="240"/>
      <c r="AE209" s="240"/>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139"/>
      <c r="BC209" s="139"/>
      <c r="BD209" s="139"/>
    </row>
    <row r="210" spans="1:56" ht="13.5">
      <c r="A210" s="37"/>
      <c r="B210" s="33"/>
      <c r="C210" s="33"/>
      <c r="D210" s="33"/>
      <c r="E210" s="33"/>
      <c r="F210" s="33"/>
      <c r="G210" s="33"/>
      <c r="H210" s="225"/>
      <c r="I210" s="226"/>
      <c r="J210" s="227"/>
      <c r="K210" s="228"/>
      <c r="L210" s="228"/>
      <c r="M210" s="228"/>
      <c r="N210" s="228"/>
      <c r="O210" s="228"/>
      <c r="P210" s="33"/>
      <c r="Q210" s="33"/>
      <c r="R210" s="37"/>
      <c r="S210" s="37"/>
      <c r="T210" s="33"/>
      <c r="U210" s="33"/>
      <c r="V210" s="33"/>
      <c r="W210" s="37"/>
      <c r="X210" s="37"/>
      <c r="Y210" s="232"/>
      <c r="Z210" s="177"/>
      <c r="AA210" s="138"/>
      <c r="AB210" s="138"/>
      <c r="AC210" s="143"/>
      <c r="AD210" s="240"/>
      <c r="AE210" s="240"/>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139"/>
      <c r="BC210" s="139"/>
      <c r="BD210" s="139"/>
    </row>
    <row r="211" spans="1:56" ht="13.5">
      <c r="A211" s="37"/>
      <c r="B211" s="33"/>
      <c r="C211" s="33"/>
      <c r="D211" s="33"/>
      <c r="E211" s="33"/>
      <c r="F211" s="33"/>
      <c r="G211" s="33"/>
      <c r="H211" s="225"/>
      <c r="I211" s="226"/>
      <c r="J211" s="227"/>
      <c r="K211" s="228"/>
      <c r="L211" s="228"/>
      <c r="M211" s="228"/>
      <c r="N211" s="228"/>
      <c r="O211" s="228"/>
      <c r="P211" s="33"/>
      <c r="Q211" s="33"/>
      <c r="R211" s="37"/>
      <c r="S211" s="37"/>
      <c r="T211" s="33"/>
      <c r="U211" s="33"/>
      <c r="V211" s="33"/>
      <c r="W211" s="37"/>
      <c r="X211" s="37"/>
      <c r="Y211" s="232"/>
      <c r="Z211" s="177"/>
      <c r="AA211" s="138"/>
      <c r="AB211" s="138"/>
      <c r="AC211" s="143"/>
      <c r="AD211" s="240"/>
      <c r="AE211" s="240"/>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139"/>
      <c r="BC211" s="139"/>
      <c r="BD211" s="139"/>
    </row>
    <row r="212" spans="1:56" ht="13.5">
      <c r="A212" s="37"/>
      <c r="B212" s="33"/>
      <c r="C212" s="33"/>
      <c r="D212" s="33"/>
      <c r="E212" s="33"/>
      <c r="F212" s="33"/>
      <c r="G212" s="33"/>
      <c r="H212" s="225"/>
      <c r="I212" s="226"/>
      <c r="J212" s="227"/>
      <c r="K212" s="228"/>
      <c r="L212" s="228"/>
      <c r="M212" s="228"/>
      <c r="N212" s="228"/>
      <c r="O212" s="228"/>
      <c r="P212" s="33"/>
      <c r="Q212" s="33"/>
      <c r="R212" s="37"/>
      <c r="S212" s="37"/>
      <c r="T212" s="33"/>
      <c r="U212" s="33"/>
      <c r="V212" s="33"/>
      <c r="W212" s="37"/>
      <c r="X212" s="37"/>
      <c r="Y212" s="232"/>
      <c r="Z212" s="177"/>
      <c r="AA212" s="138"/>
      <c r="AB212" s="138"/>
      <c r="AC212" s="143"/>
      <c r="AD212" s="240"/>
      <c r="AE212" s="240"/>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139"/>
      <c r="BC212" s="139"/>
      <c r="BD212" s="139"/>
    </row>
    <row r="213" spans="1:56" ht="13.5">
      <c r="A213" s="37"/>
      <c r="B213" s="33"/>
      <c r="C213" s="33"/>
      <c r="D213" s="33"/>
      <c r="E213" s="33"/>
      <c r="F213" s="33"/>
      <c r="G213" s="33"/>
      <c r="H213" s="225"/>
      <c r="I213" s="226"/>
      <c r="J213" s="227"/>
      <c r="K213" s="228"/>
      <c r="L213" s="228"/>
      <c r="M213" s="228"/>
      <c r="N213" s="228"/>
      <c r="O213" s="228"/>
      <c r="P213" s="33"/>
      <c r="Q213" s="33"/>
      <c r="R213" s="37"/>
      <c r="S213" s="37"/>
      <c r="T213" s="33"/>
      <c r="U213" s="33"/>
      <c r="V213" s="33"/>
      <c r="W213" s="37"/>
      <c r="X213" s="37"/>
      <c r="Y213" s="232"/>
      <c r="Z213" s="177"/>
      <c r="AA213" s="138"/>
      <c r="AB213" s="138"/>
      <c r="AC213" s="143"/>
      <c r="AD213" s="240"/>
      <c r="AE213" s="240"/>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139"/>
      <c r="BC213" s="139"/>
      <c r="BD213" s="139"/>
    </row>
    <row r="214" spans="1:56" ht="13.5">
      <c r="A214" s="37"/>
      <c r="B214" s="33"/>
      <c r="C214" s="33"/>
      <c r="D214" s="33"/>
      <c r="E214" s="33"/>
      <c r="F214" s="33"/>
      <c r="G214" s="33"/>
      <c r="H214" s="225"/>
      <c r="I214" s="226"/>
      <c r="J214" s="227"/>
      <c r="K214" s="228"/>
      <c r="L214" s="228"/>
      <c r="M214" s="228"/>
      <c r="N214" s="228"/>
      <c r="O214" s="228"/>
      <c r="P214" s="33"/>
      <c r="Q214" s="33"/>
      <c r="R214" s="37"/>
      <c r="S214" s="37"/>
      <c r="T214" s="33"/>
      <c r="U214" s="33"/>
      <c r="V214" s="33"/>
      <c r="W214" s="37"/>
      <c r="X214" s="37"/>
      <c r="Y214" s="232"/>
      <c r="Z214" s="177"/>
      <c r="AA214" s="138"/>
      <c r="AB214" s="138"/>
      <c r="AC214" s="143"/>
      <c r="AD214" s="240"/>
      <c r="AE214" s="240"/>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139"/>
      <c r="BC214" s="139"/>
      <c r="BD214" s="139"/>
    </row>
    <row r="215" spans="1:56" ht="13.5">
      <c r="A215" s="37"/>
      <c r="B215" s="33"/>
      <c r="C215" s="33"/>
      <c r="D215" s="33"/>
      <c r="E215" s="33"/>
      <c r="F215" s="33"/>
      <c r="G215" s="33"/>
      <c r="H215" s="225"/>
      <c r="I215" s="226"/>
      <c r="J215" s="227"/>
      <c r="K215" s="228"/>
      <c r="L215" s="228"/>
      <c r="M215" s="228"/>
      <c r="N215" s="228"/>
      <c r="O215" s="228"/>
      <c r="P215" s="33"/>
      <c r="Q215" s="33"/>
      <c r="R215" s="37"/>
      <c r="S215" s="37"/>
      <c r="T215" s="33"/>
      <c r="U215" s="33"/>
      <c r="V215" s="33"/>
      <c r="W215" s="37"/>
      <c r="X215" s="37"/>
      <c r="Y215" s="232"/>
      <c r="Z215" s="177"/>
      <c r="AA215" s="138"/>
      <c r="AB215" s="138"/>
      <c r="AC215" s="143"/>
      <c r="AD215" s="240"/>
      <c r="AE215" s="240"/>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139"/>
      <c r="BC215" s="139"/>
      <c r="BD215" s="139"/>
    </row>
    <row r="216" spans="1:56" ht="13.5">
      <c r="A216" s="37"/>
      <c r="B216" s="33"/>
      <c r="C216" s="33"/>
      <c r="D216" s="33"/>
      <c r="E216" s="33"/>
      <c r="F216" s="33"/>
      <c r="G216" s="33"/>
      <c r="H216" s="225"/>
      <c r="I216" s="226"/>
      <c r="J216" s="227"/>
      <c r="K216" s="228"/>
      <c r="L216" s="228"/>
      <c r="M216" s="228"/>
      <c r="N216" s="228"/>
      <c r="O216" s="228"/>
      <c r="P216" s="33"/>
      <c r="Q216" s="33"/>
      <c r="R216" s="37"/>
      <c r="S216" s="37"/>
      <c r="T216" s="33"/>
      <c r="U216" s="33"/>
      <c r="V216" s="33"/>
      <c r="W216" s="37"/>
      <c r="X216" s="37"/>
      <c r="Y216" s="232"/>
      <c r="Z216" s="177"/>
      <c r="AA216" s="138"/>
      <c r="AB216" s="138"/>
      <c r="AC216" s="143"/>
      <c r="AD216" s="240"/>
      <c r="AE216" s="240"/>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139"/>
      <c r="BC216" s="139"/>
      <c r="BD216" s="139"/>
    </row>
    <row r="217" spans="1:56" ht="13.5">
      <c r="A217" s="37"/>
      <c r="B217" s="33"/>
      <c r="C217" s="33"/>
      <c r="D217" s="33"/>
      <c r="E217" s="33"/>
      <c r="F217" s="33"/>
      <c r="G217" s="33"/>
      <c r="H217" s="225"/>
      <c r="I217" s="226"/>
      <c r="J217" s="227"/>
      <c r="K217" s="228"/>
      <c r="L217" s="228"/>
      <c r="M217" s="228"/>
      <c r="N217" s="228"/>
      <c r="O217" s="228"/>
      <c r="P217" s="33"/>
      <c r="Q217" s="33"/>
      <c r="R217" s="37"/>
      <c r="S217" s="37"/>
      <c r="T217" s="33"/>
      <c r="U217" s="33"/>
      <c r="V217" s="33"/>
      <c r="W217" s="37"/>
      <c r="X217" s="37"/>
      <c r="Y217" s="232"/>
      <c r="Z217" s="177"/>
      <c r="AA217" s="138"/>
      <c r="AB217" s="138"/>
      <c r="AC217" s="143"/>
      <c r="AD217" s="240"/>
      <c r="AE217" s="240"/>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139"/>
      <c r="BC217" s="139"/>
      <c r="BD217" s="139"/>
    </row>
    <row r="218" spans="1:56" ht="13.5">
      <c r="A218" s="37"/>
      <c r="B218" s="711"/>
      <c r="C218" s="711"/>
      <c r="D218" s="711"/>
      <c r="E218" s="711"/>
      <c r="F218" s="711"/>
      <c r="G218" s="711"/>
      <c r="H218" s="712"/>
      <c r="I218" s="28"/>
      <c r="J218" s="713"/>
      <c r="K218" s="714"/>
      <c r="L218" s="714"/>
      <c r="M218" s="714"/>
      <c r="N218" s="714"/>
      <c r="O218" s="714"/>
      <c r="P218" s="711"/>
      <c r="Q218" s="711"/>
      <c r="R218" s="323"/>
      <c r="S218" s="323"/>
      <c r="T218" s="711"/>
      <c r="U218" s="711"/>
      <c r="V218" s="711"/>
      <c r="W218" s="323"/>
      <c r="X218" s="323"/>
      <c r="Y218" s="232"/>
      <c r="Z218" s="232"/>
      <c r="AA218" s="138"/>
      <c r="AB218" s="138"/>
      <c r="AC218" s="143"/>
      <c r="AD218" s="240"/>
      <c r="AE218" s="240"/>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139"/>
      <c r="BC218" s="139"/>
      <c r="BD218" s="139"/>
    </row>
    <row r="219" spans="1:56" ht="13.5">
      <c r="A219" s="37"/>
      <c r="B219" s="711"/>
      <c r="C219" s="711"/>
      <c r="D219" s="711"/>
      <c r="E219" s="711"/>
      <c r="F219" s="711"/>
      <c r="G219" s="711"/>
      <c r="H219" s="712"/>
      <c r="I219" s="28"/>
      <c r="J219" s="713"/>
      <c r="K219" s="714"/>
      <c r="L219" s="714"/>
      <c r="M219" s="714"/>
      <c r="N219" s="714"/>
      <c r="O219" s="714"/>
      <c r="P219" s="711"/>
      <c r="Q219" s="711"/>
      <c r="R219" s="323"/>
      <c r="S219" s="323"/>
      <c r="T219" s="711"/>
      <c r="U219" s="711"/>
      <c r="V219" s="711"/>
      <c r="W219" s="323"/>
      <c r="X219" s="323"/>
      <c r="Y219" s="232"/>
      <c r="Z219" s="232"/>
      <c r="AA219" s="138"/>
      <c r="AB219" s="138"/>
      <c r="AC219" s="143"/>
      <c r="AD219" s="240"/>
      <c r="AE219" s="240"/>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139"/>
      <c r="BC219" s="139"/>
      <c r="BD219" s="139"/>
    </row>
    <row r="220" spans="1:56" ht="13.5">
      <c r="A220" s="37"/>
      <c r="B220" s="711"/>
      <c r="C220" s="711"/>
      <c r="D220" s="711"/>
      <c r="E220" s="711"/>
      <c r="F220" s="711"/>
      <c r="G220" s="711"/>
      <c r="H220" s="712"/>
      <c r="I220" s="28"/>
      <c r="J220" s="713"/>
      <c r="K220" s="714"/>
      <c r="L220" s="714"/>
      <c r="M220" s="714"/>
      <c r="N220" s="714"/>
      <c r="O220" s="714"/>
      <c r="P220" s="711"/>
      <c r="Q220" s="711"/>
      <c r="R220" s="323"/>
      <c r="S220" s="323"/>
      <c r="T220" s="711"/>
      <c r="U220" s="711"/>
      <c r="V220" s="711"/>
      <c r="W220" s="323"/>
      <c r="X220" s="323"/>
      <c r="Y220" s="232"/>
      <c r="Z220" s="232"/>
      <c r="AA220" s="138"/>
      <c r="AB220" s="138"/>
      <c r="AC220" s="143"/>
      <c r="AD220" s="240"/>
      <c r="AE220" s="240"/>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139"/>
      <c r="BC220" s="139"/>
      <c r="BD220" s="139"/>
    </row>
    <row r="221" spans="1:56" ht="13.5">
      <c r="A221" s="37"/>
      <c r="B221" s="711"/>
      <c r="C221" s="711"/>
      <c r="D221" s="711"/>
      <c r="E221" s="711"/>
      <c r="F221" s="711"/>
      <c r="G221" s="711"/>
      <c r="H221" s="712"/>
      <c r="I221" s="28"/>
      <c r="J221" s="713"/>
      <c r="K221" s="714"/>
      <c r="L221" s="714"/>
      <c r="M221" s="714"/>
      <c r="N221" s="714"/>
      <c r="O221" s="714"/>
      <c r="P221" s="711"/>
      <c r="Q221" s="711"/>
      <c r="R221" s="323"/>
      <c r="S221" s="323"/>
      <c r="T221" s="711"/>
      <c r="U221" s="711"/>
      <c r="V221" s="711"/>
      <c r="W221" s="323"/>
      <c r="X221" s="323"/>
      <c r="Y221" s="232"/>
      <c r="Z221" s="232"/>
      <c r="AA221" s="138"/>
      <c r="AB221" s="138"/>
      <c r="AC221" s="143"/>
      <c r="AD221" s="240"/>
      <c r="AE221" s="240"/>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139"/>
      <c r="BC221" s="139"/>
      <c r="BD221" s="139"/>
    </row>
    <row r="222" spans="1:56" ht="13.5">
      <c r="A222" s="37"/>
      <c r="B222" s="711"/>
      <c r="C222" s="711"/>
      <c r="D222" s="711"/>
      <c r="E222" s="711"/>
      <c r="F222" s="711"/>
      <c r="G222" s="711"/>
      <c r="H222" s="712"/>
      <c r="I222" s="28"/>
      <c r="J222" s="713"/>
      <c r="K222" s="714"/>
      <c r="L222" s="714"/>
      <c r="M222" s="714"/>
      <c r="N222" s="714"/>
      <c r="O222" s="714"/>
      <c r="P222" s="711"/>
      <c r="Q222" s="711"/>
      <c r="R222" s="323"/>
      <c r="S222" s="323"/>
      <c r="T222" s="711"/>
      <c r="U222" s="711"/>
      <c r="V222" s="711"/>
      <c r="W222" s="323"/>
      <c r="X222" s="323"/>
      <c r="Y222" s="232"/>
      <c r="Z222" s="232"/>
      <c r="AA222" s="138"/>
      <c r="AB222" s="138"/>
      <c r="AC222" s="143"/>
      <c r="AD222" s="240"/>
      <c r="AE222" s="240"/>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139"/>
      <c r="BC222" s="139"/>
      <c r="BD222" s="139"/>
    </row>
    <row r="223" spans="1:56" ht="13.5">
      <c r="A223" s="37"/>
      <c r="B223" s="711"/>
      <c r="C223" s="711"/>
      <c r="D223" s="711"/>
      <c r="E223" s="711"/>
      <c r="F223" s="711"/>
      <c r="G223" s="711"/>
      <c r="H223" s="712"/>
      <c r="I223" s="28"/>
      <c r="J223" s="713"/>
      <c r="K223" s="714"/>
      <c r="L223" s="714"/>
      <c r="M223" s="714"/>
      <c r="N223" s="714"/>
      <c r="O223" s="714"/>
      <c r="P223" s="711"/>
      <c r="Q223" s="711"/>
      <c r="R223" s="323"/>
      <c r="S223" s="323"/>
      <c r="T223" s="711"/>
      <c r="U223" s="711"/>
      <c r="V223" s="711"/>
      <c r="W223" s="323"/>
      <c r="X223" s="323"/>
      <c r="Y223" s="232"/>
      <c r="Z223" s="232"/>
      <c r="AA223" s="138"/>
      <c r="AB223" s="138"/>
      <c r="AC223" s="143"/>
      <c r="AD223" s="240"/>
      <c r="AE223" s="240"/>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139"/>
      <c r="BC223" s="139"/>
      <c r="BD223" s="139"/>
    </row>
    <row r="224" spans="1:56" ht="13.5">
      <c r="A224" s="37"/>
      <c r="B224" s="711"/>
      <c r="C224" s="711"/>
      <c r="D224" s="711"/>
      <c r="E224" s="711"/>
      <c r="F224" s="711"/>
      <c r="G224" s="711"/>
      <c r="H224" s="712"/>
      <c r="I224" s="28"/>
      <c r="J224" s="713"/>
      <c r="K224" s="714"/>
      <c r="L224" s="714"/>
      <c r="M224" s="714"/>
      <c r="N224" s="714"/>
      <c r="O224" s="714"/>
      <c r="P224" s="711"/>
      <c r="Q224" s="711"/>
      <c r="R224" s="323"/>
      <c r="S224" s="323"/>
      <c r="T224" s="711"/>
      <c r="U224" s="711"/>
      <c r="V224" s="711"/>
      <c r="W224" s="323"/>
      <c r="X224" s="323"/>
      <c r="Y224" s="232"/>
      <c r="Z224" s="232"/>
      <c r="AA224" s="138"/>
      <c r="AB224" s="138"/>
      <c r="AC224" s="143"/>
      <c r="AD224" s="240"/>
      <c r="AE224" s="240"/>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139"/>
      <c r="BC224" s="139"/>
      <c r="BD224" s="139"/>
    </row>
    <row r="225" spans="1:56" ht="13.5">
      <c r="A225" s="37"/>
      <c r="B225" s="711"/>
      <c r="C225" s="711"/>
      <c r="D225" s="711"/>
      <c r="E225" s="711"/>
      <c r="F225" s="711"/>
      <c r="G225" s="711"/>
      <c r="H225" s="712"/>
      <c r="I225" s="28"/>
      <c r="J225" s="713"/>
      <c r="K225" s="714"/>
      <c r="L225" s="714"/>
      <c r="M225" s="714"/>
      <c r="N225" s="714"/>
      <c r="O225" s="714"/>
      <c r="P225" s="711"/>
      <c r="Q225" s="711"/>
      <c r="R225" s="323"/>
      <c r="S225" s="323"/>
      <c r="T225" s="711"/>
      <c r="U225" s="711"/>
      <c r="V225" s="711"/>
      <c r="W225" s="323"/>
      <c r="X225" s="323"/>
      <c r="Y225" s="232"/>
      <c r="Z225" s="232"/>
      <c r="AA225" s="138"/>
      <c r="AB225" s="138"/>
      <c r="AC225" s="143"/>
      <c r="AD225" s="240"/>
      <c r="AE225" s="240"/>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139"/>
      <c r="BC225" s="139"/>
      <c r="BD225" s="139"/>
    </row>
    <row r="226" spans="1:56" ht="13.5">
      <c r="A226" s="37"/>
      <c r="B226" s="711"/>
      <c r="C226" s="711"/>
      <c r="D226" s="711"/>
      <c r="E226" s="711"/>
      <c r="F226" s="711"/>
      <c r="G226" s="711"/>
      <c r="H226" s="712"/>
      <c r="I226" s="28"/>
      <c r="J226" s="713"/>
      <c r="K226" s="714"/>
      <c r="L226" s="714"/>
      <c r="M226" s="714"/>
      <c r="N226" s="714"/>
      <c r="O226" s="714"/>
      <c r="P226" s="711"/>
      <c r="Q226" s="711"/>
      <c r="R226" s="323"/>
      <c r="S226" s="323"/>
      <c r="T226" s="711"/>
      <c r="U226" s="711"/>
      <c r="V226" s="711"/>
      <c r="W226" s="323"/>
      <c r="X226" s="323"/>
      <c r="Y226" s="232"/>
      <c r="Z226" s="232"/>
      <c r="AA226" s="138"/>
      <c r="AB226" s="138"/>
      <c r="AC226" s="143"/>
      <c r="AD226" s="240"/>
      <c r="AE226" s="240"/>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139"/>
      <c r="BC226" s="139"/>
      <c r="BD226" s="139"/>
    </row>
    <row r="227" spans="1:56" ht="13.5">
      <c r="A227" s="37"/>
      <c r="B227" s="711"/>
      <c r="C227" s="711"/>
      <c r="D227" s="711"/>
      <c r="E227" s="711"/>
      <c r="F227" s="711"/>
      <c r="G227" s="711"/>
      <c r="H227" s="712"/>
      <c r="I227" s="28"/>
      <c r="J227" s="713"/>
      <c r="K227" s="714"/>
      <c r="L227" s="714"/>
      <c r="M227" s="714"/>
      <c r="N227" s="714"/>
      <c r="O227" s="714"/>
      <c r="P227" s="711"/>
      <c r="Q227" s="711"/>
      <c r="R227" s="323"/>
      <c r="S227" s="323"/>
      <c r="T227" s="711"/>
      <c r="U227" s="711"/>
      <c r="V227" s="711"/>
      <c r="W227" s="323"/>
      <c r="X227" s="323"/>
      <c r="Y227" s="232"/>
      <c r="Z227" s="232"/>
      <c r="AA227" s="138"/>
      <c r="AB227" s="138"/>
      <c r="AC227" s="143"/>
      <c r="AD227" s="240"/>
      <c r="AE227" s="240"/>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139"/>
      <c r="BC227" s="139"/>
      <c r="BD227" s="139"/>
    </row>
    <row r="228" spans="1:56" ht="13.5">
      <c r="A228" s="37"/>
      <c r="B228" s="711"/>
      <c r="C228" s="711"/>
      <c r="D228" s="711"/>
      <c r="E228" s="711"/>
      <c r="F228" s="711"/>
      <c r="G228" s="711"/>
      <c r="H228" s="712"/>
      <c r="I228" s="28"/>
      <c r="J228" s="713"/>
      <c r="K228" s="714"/>
      <c r="L228" s="714"/>
      <c r="M228" s="714"/>
      <c r="N228" s="714"/>
      <c r="O228" s="714"/>
      <c r="P228" s="711"/>
      <c r="Q228" s="711"/>
      <c r="R228" s="323"/>
      <c r="S228" s="323"/>
      <c r="T228" s="711"/>
      <c r="U228" s="711"/>
      <c r="V228" s="711"/>
      <c r="W228" s="323"/>
      <c r="X228" s="323"/>
      <c r="Y228" s="232"/>
      <c r="Z228" s="232"/>
      <c r="AA228" s="138"/>
      <c r="AB228" s="138"/>
      <c r="AC228" s="143"/>
      <c r="AD228" s="240"/>
      <c r="AE228" s="240"/>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139"/>
      <c r="BC228" s="139"/>
      <c r="BD228" s="139"/>
    </row>
    <row r="229" spans="1:56" ht="13.5">
      <c r="A229" s="37"/>
      <c r="B229" s="711"/>
      <c r="C229" s="711"/>
      <c r="D229" s="711"/>
      <c r="E229" s="711"/>
      <c r="F229" s="711"/>
      <c r="G229" s="711"/>
      <c r="H229" s="712"/>
      <c r="I229" s="28"/>
      <c r="J229" s="713"/>
      <c r="K229" s="714"/>
      <c r="L229" s="714"/>
      <c r="M229" s="714"/>
      <c r="N229" s="714"/>
      <c r="O229" s="714"/>
      <c r="P229" s="711"/>
      <c r="Q229" s="711"/>
      <c r="R229" s="323"/>
      <c r="S229" s="323"/>
      <c r="T229" s="711"/>
      <c r="U229" s="711"/>
      <c r="V229" s="711"/>
      <c r="W229" s="323"/>
      <c r="X229" s="323"/>
      <c r="Y229" s="232"/>
      <c r="Z229" s="232"/>
      <c r="AA229" s="138"/>
      <c r="AB229" s="138"/>
      <c r="AC229" s="143"/>
      <c r="AD229" s="240"/>
      <c r="AE229" s="240"/>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139"/>
      <c r="BC229" s="139"/>
      <c r="BD229" s="139"/>
    </row>
    <row r="230" spans="1:56" ht="13.5">
      <c r="A230" s="37"/>
      <c r="B230" s="711"/>
      <c r="C230" s="711"/>
      <c r="D230" s="711"/>
      <c r="E230" s="711"/>
      <c r="F230" s="711"/>
      <c r="G230" s="711"/>
      <c r="H230" s="712"/>
      <c r="I230" s="28"/>
      <c r="J230" s="713"/>
      <c r="K230" s="714"/>
      <c r="L230" s="714"/>
      <c r="M230" s="714"/>
      <c r="N230" s="714"/>
      <c r="O230" s="714"/>
      <c r="P230" s="711"/>
      <c r="Q230" s="711"/>
      <c r="R230" s="323"/>
      <c r="S230" s="323"/>
      <c r="T230" s="711"/>
      <c r="U230" s="711"/>
      <c r="V230" s="711"/>
      <c r="W230" s="323"/>
      <c r="X230" s="323"/>
      <c r="Y230" s="138"/>
      <c r="Z230" s="232"/>
      <c r="AA230" s="138"/>
      <c r="AB230" s="138"/>
      <c r="AC230" s="143"/>
      <c r="AD230" s="240"/>
      <c r="AE230" s="240"/>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139"/>
      <c r="BC230" s="139"/>
      <c r="BD230" s="139"/>
    </row>
    <row r="231" spans="1:56" ht="13.5">
      <c r="A231" s="37"/>
      <c r="B231" s="711"/>
      <c r="C231" s="711"/>
      <c r="D231" s="711"/>
      <c r="E231" s="711"/>
      <c r="F231" s="711"/>
      <c r="G231" s="711"/>
      <c r="H231" s="712"/>
      <c r="I231" s="28"/>
      <c r="J231" s="713"/>
      <c r="K231" s="714"/>
      <c r="L231" s="714"/>
      <c r="M231" s="714"/>
      <c r="N231" s="714"/>
      <c r="O231" s="714"/>
      <c r="P231" s="711"/>
      <c r="Q231" s="711"/>
      <c r="R231" s="323"/>
      <c r="S231" s="323"/>
      <c r="T231" s="197"/>
      <c r="U231" s="197"/>
      <c r="V231" s="197"/>
      <c r="W231" s="323"/>
      <c r="X231" s="323"/>
      <c r="Y231" s="138"/>
      <c r="Z231" s="232"/>
      <c r="AA231" s="138"/>
      <c r="AB231" s="138"/>
      <c r="AC231" s="143"/>
      <c r="AD231" s="240"/>
      <c r="AE231" s="240"/>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139"/>
      <c r="BC231" s="139"/>
      <c r="BD231" s="139"/>
    </row>
    <row r="232" spans="1:56" ht="13.5">
      <c r="A232" s="37"/>
      <c r="B232" s="323"/>
      <c r="C232" s="323"/>
      <c r="D232" s="323"/>
      <c r="E232" s="712"/>
      <c r="F232" s="712"/>
      <c r="G232" s="712"/>
      <c r="H232" s="712"/>
      <c r="I232" s="28"/>
      <c r="J232" s="713"/>
      <c r="K232" s="714"/>
      <c r="L232" s="714"/>
      <c r="M232" s="714"/>
      <c r="N232" s="714"/>
      <c r="O232" s="714"/>
      <c r="P232" s="711"/>
      <c r="Q232" s="711"/>
      <c r="R232" s="323"/>
      <c r="S232" s="323"/>
      <c r="T232" s="197"/>
      <c r="U232" s="197"/>
      <c r="V232" s="197"/>
      <c r="W232" s="323"/>
      <c r="X232" s="323"/>
      <c r="Y232" s="138"/>
      <c r="Z232" s="232"/>
      <c r="AA232" s="138"/>
      <c r="AB232" s="138"/>
      <c r="AC232" s="143"/>
      <c r="AD232" s="240"/>
      <c r="AE232" s="240"/>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139"/>
      <c r="BC232" s="139"/>
      <c r="BD232" s="139"/>
    </row>
    <row r="233" spans="1:55" ht="13.5">
      <c r="A233" s="37"/>
      <c r="B233" s="323"/>
      <c r="C233" s="323"/>
      <c r="D233" s="323"/>
      <c r="E233" s="712"/>
      <c r="F233" s="712"/>
      <c r="G233" s="712"/>
      <c r="H233" s="712"/>
      <c r="I233" s="28"/>
      <c r="J233" s="713"/>
      <c r="K233" s="714"/>
      <c r="L233" s="714"/>
      <c r="M233" s="714"/>
      <c r="N233" s="714"/>
      <c r="O233" s="714"/>
      <c r="P233" s="711"/>
      <c r="Q233" s="711"/>
      <c r="R233" s="323"/>
      <c r="S233" s="323"/>
      <c r="T233" s="197"/>
      <c r="U233" s="197"/>
      <c r="V233" s="197"/>
      <c r="W233" s="323"/>
      <c r="X233" s="323"/>
      <c r="Y233" s="138"/>
      <c r="Z233" s="232"/>
      <c r="AA233" s="138"/>
      <c r="AB233" s="138"/>
      <c r="AC233" s="143"/>
      <c r="AD233" s="240"/>
      <c r="AE233" s="240"/>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139"/>
      <c r="BC233" s="139"/>
    </row>
    <row r="234" spans="1:55" ht="13.5">
      <c r="A234" s="53"/>
      <c r="B234" s="323"/>
      <c r="C234" s="217"/>
      <c r="D234" s="217"/>
      <c r="E234" s="715"/>
      <c r="F234" s="716"/>
      <c r="G234" s="717"/>
      <c r="H234" s="717"/>
      <c r="I234" s="718"/>
      <c r="J234" s="718"/>
      <c r="K234" s="323"/>
      <c r="L234" s="716"/>
      <c r="M234" s="715"/>
      <c r="N234" s="715"/>
      <c r="O234" s="718"/>
      <c r="P234" s="711"/>
      <c r="Q234" s="711"/>
      <c r="R234" s="715"/>
      <c r="S234" s="715"/>
      <c r="T234" s="715"/>
      <c r="U234" s="715"/>
      <c r="V234" s="715"/>
      <c r="W234" s="715"/>
      <c r="X234" s="715"/>
      <c r="Y234" s="719"/>
      <c r="Z234" s="232"/>
      <c r="AA234" s="719"/>
      <c r="AB234" s="199"/>
      <c r="AC234" s="507"/>
      <c r="AD234" s="507"/>
      <c r="AE234" s="242"/>
      <c r="AF234" s="242"/>
      <c r="AG234" s="242"/>
      <c r="AH234" s="242"/>
      <c r="AI234" s="242"/>
      <c r="AJ234" s="242"/>
      <c r="AK234" s="242"/>
      <c r="AL234" s="242"/>
      <c r="AM234" s="242"/>
      <c r="AN234" s="242"/>
      <c r="AO234" s="242"/>
      <c r="AP234" s="242"/>
      <c r="AQ234" s="242"/>
      <c r="AR234" s="242"/>
      <c r="AS234" s="242"/>
      <c r="AT234" s="242"/>
      <c r="AU234" s="242"/>
      <c r="AV234" s="242"/>
      <c r="AW234" s="242"/>
      <c r="AX234" s="242"/>
      <c r="AY234" s="242"/>
      <c r="AZ234" s="242"/>
      <c r="BA234" s="242"/>
      <c r="BB234" s="139"/>
      <c r="BC234" s="139"/>
    </row>
    <row r="235" spans="1:55" ht="13.5">
      <c r="A235" s="53"/>
      <c r="B235" s="711"/>
      <c r="C235" s="711"/>
      <c r="D235" s="711"/>
      <c r="E235" s="720"/>
      <c r="F235" s="711"/>
      <c r="G235" s="711"/>
      <c r="H235" s="711"/>
      <c r="I235" s="711"/>
      <c r="J235" s="711"/>
      <c r="K235" s="711"/>
      <c r="L235" s="711"/>
      <c r="M235" s="711"/>
      <c r="N235" s="711"/>
      <c r="O235" s="711"/>
      <c r="P235" s="711"/>
      <c r="Q235" s="711"/>
      <c r="R235" s="715"/>
      <c r="S235" s="715"/>
      <c r="T235" s="715"/>
      <c r="U235" s="715"/>
      <c r="V235" s="715"/>
      <c r="W235" s="1186" t="s">
        <v>356</v>
      </c>
      <c r="X235" s="1186"/>
      <c r="Y235" s="1186"/>
      <c r="Z235" s="232"/>
      <c r="AA235" s="138"/>
      <c r="AB235" s="138"/>
      <c r="AC235" s="242"/>
      <c r="AD235" s="242"/>
      <c r="AE235" s="242"/>
      <c r="AF235" s="242"/>
      <c r="AG235" s="242"/>
      <c r="AH235" s="242"/>
      <c r="AI235" s="242"/>
      <c r="AJ235" s="242"/>
      <c r="AK235" s="242"/>
      <c r="AL235" s="242"/>
      <c r="AM235" s="242"/>
      <c r="AN235" s="242"/>
      <c r="AO235" s="242"/>
      <c r="AP235" s="242"/>
      <c r="AQ235" s="242"/>
      <c r="AR235" s="242"/>
      <c r="AS235" s="242"/>
      <c r="AT235" s="242"/>
      <c r="AU235" s="242"/>
      <c r="AV235" s="242"/>
      <c r="AW235" s="242"/>
      <c r="AX235" s="242"/>
      <c r="AY235" s="242"/>
      <c r="AZ235" s="242"/>
      <c r="BA235" s="242"/>
      <c r="BB235" s="139"/>
      <c r="BC235" s="139"/>
    </row>
    <row r="236" spans="1:55" ht="13.5">
      <c r="A236" s="53"/>
      <c r="B236" s="711"/>
      <c r="C236" s="711"/>
      <c r="D236" s="711"/>
      <c r="E236" s="323"/>
      <c r="F236" s="711"/>
      <c r="G236" s="711"/>
      <c r="H236" s="711"/>
      <c r="I236" s="711"/>
      <c r="J236" s="711"/>
      <c r="K236" s="711"/>
      <c r="L236" s="711"/>
      <c r="M236" s="711"/>
      <c r="N236" s="711"/>
      <c r="O236" s="711"/>
      <c r="P236" s="711"/>
      <c r="Q236" s="711"/>
      <c r="R236" s="715"/>
      <c r="S236" s="715"/>
      <c r="T236" s="715"/>
      <c r="U236" s="715"/>
      <c r="V236" s="715"/>
      <c r="W236" s="715"/>
      <c r="X236" s="715"/>
      <c r="Y236" s="719"/>
      <c r="Z236" s="232"/>
      <c r="AA236" s="719"/>
      <c r="AB236" s="199"/>
      <c r="AC236" s="242"/>
      <c r="AD236" s="242"/>
      <c r="AE236" s="242"/>
      <c r="AF236" s="242"/>
      <c r="AG236" s="507"/>
      <c r="AH236" s="242"/>
      <c r="AI236" s="242"/>
      <c r="AJ236" s="242"/>
      <c r="AK236" s="242"/>
      <c r="AL236" s="242"/>
      <c r="AM236" s="242"/>
      <c r="AN236" s="242"/>
      <c r="AO236" s="242"/>
      <c r="AP236" s="242"/>
      <c r="AQ236" s="242"/>
      <c r="AR236" s="242"/>
      <c r="AS236" s="242"/>
      <c r="AT236" s="242"/>
      <c r="AU236" s="242"/>
      <c r="AV236" s="242"/>
      <c r="AW236" s="242"/>
      <c r="AX236" s="242"/>
      <c r="AY236" s="242"/>
      <c r="AZ236" s="242"/>
      <c r="BA236" s="242"/>
      <c r="BB236" s="139"/>
      <c r="BC236" s="139"/>
    </row>
    <row r="237" spans="1:55" ht="13.5">
      <c r="A237" s="53"/>
      <c r="B237" s="711"/>
      <c r="C237" s="711"/>
      <c r="D237" s="711"/>
      <c r="E237" s="323"/>
      <c r="F237" s="711"/>
      <c r="G237" s="711"/>
      <c r="H237" s="711"/>
      <c r="I237" s="711"/>
      <c r="J237" s="711"/>
      <c r="K237" s="711"/>
      <c r="L237" s="711"/>
      <c r="M237" s="711"/>
      <c r="N237" s="711"/>
      <c r="O237" s="711"/>
      <c r="P237" s="711"/>
      <c r="Q237" s="711"/>
      <c r="R237" s="715"/>
      <c r="S237" s="715"/>
      <c r="T237" s="715"/>
      <c r="U237" s="715"/>
      <c r="V237" s="715"/>
      <c r="W237" s="715"/>
      <c r="X237" s="715"/>
      <c r="Y237" s="719"/>
      <c r="Z237" s="232"/>
      <c r="AA237" s="719"/>
      <c r="AB237" s="199"/>
      <c r="AC237" s="242"/>
      <c r="AD237" s="242"/>
      <c r="AE237" s="242"/>
      <c r="AF237" s="242"/>
      <c r="AG237" s="508"/>
      <c r="AH237" s="144"/>
      <c r="AI237" s="144"/>
      <c r="AJ237" s="144"/>
      <c r="AK237" s="144"/>
      <c r="AL237" s="144"/>
      <c r="AM237" s="144"/>
      <c r="AN237" s="144"/>
      <c r="AO237" s="144"/>
      <c r="AP237" s="144"/>
      <c r="AQ237" s="144"/>
      <c r="AR237" s="144"/>
      <c r="AS237" s="144"/>
      <c r="AT237" s="144"/>
      <c r="AU237" s="144"/>
      <c r="AV237" s="144"/>
      <c r="AW237" s="144"/>
      <c r="AX237" s="144"/>
      <c r="AY237" s="144"/>
      <c r="AZ237" s="144"/>
      <c r="BA237" s="144"/>
      <c r="BB237" s="139"/>
      <c r="BC237" s="139"/>
    </row>
    <row r="238" spans="1:55" ht="13.5">
      <c r="A238" s="53"/>
      <c r="B238" s="711"/>
      <c r="C238" s="711"/>
      <c r="D238" s="711"/>
      <c r="E238" s="720"/>
      <c r="F238" s="711"/>
      <c r="G238" s="711"/>
      <c r="H238" s="711"/>
      <c r="I238" s="711"/>
      <c r="J238" s="711"/>
      <c r="K238" s="711"/>
      <c r="L238" s="711"/>
      <c r="M238" s="711"/>
      <c r="N238" s="711"/>
      <c r="O238" s="711"/>
      <c r="P238" s="711"/>
      <c r="Q238" s="711"/>
      <c r="R238" s="715"/>
      <c r="S238" s="715"/>
      <c r="T238" s="715"/>
      <c r="U238" s="715"/>
      <c r="V238" s="715"/>
      <c r="W238" s="715"/>
      <c r="X238" s="715"/>
      <c r="Y238" s="721"/>
      <c r="Z238" s="232"/>
      <c r="AA238" s="721"/>
      <c r="AB238" s="172"/>
      <c r="AC238" s="242"/>
      <c r="AD238" s="242"/>
      <c r="AE238" s="242"/>
      <c r="AF238" s="242"/>
      <c r="AG238" s="144"/>
      <c r="AH238" s="144"/>
      <c r="AI238" s="144"/>
      <c r="AJ238" s="144"/>
      <c r="AK238" s="144"/>
      <c r="AL238" s="144"/>
      <c r="AM238" s="144"/>
      <c r="AN238" s="144"/>
      <c r="AO238" s="144"/>
      <c r="AP238" s="144"/>
      <c r="AQ238" s="144"/>
      <c r="AR238" s="144"/>
      <c r="AS238" s="144"/>
      <c r="AT238" s="144"/>
      <c r="AU238" s="144"/>
      <c r="AV238" s="144"/>
      <c r="AW238" s="144"/>
      <c r="AX238" s="144"/>
      <c r="AY238" s="144"/>
      <c r="AZ238" s="144"/>
      <c r="BA238" s="144"/>
      <c r="BB238" s="139"/>
      <c r="BC238" s="139"/>
    </row>
    <row r="239" spans="1:55" ht="13.5">
      <c r="A239" s="53"/>
      <c r="B239" s="711"/>
      <c r="C239" s="711"/>
      <c r="D239" s="711"/>
      <c r="E239" s="722"/>
      <c r="F239" s="722"/>
      <c r="G239" s="722"/>
      <c r="H239" s="723"/>
      <c r="I239" s="722"/>
      <c r="J239" s="717"/>
      <c r="K239" s="718"/>
      <c r="L239" s="718"/>
      <c r="M239" s="723"/>
      <c r="N239" s="723"/>
      <c r="O239" s="14"/>
      <c r="P239" s="711"/>
      <c r="Q239" s="711"/>
      <c r="R239" s="715"/>
      <c r="S239" s="715"/>
      <c r="T239" s="715"/>
      <c r="U239" s="715"/>
      <c r="V239" s="715"/>
      <c r="W239" s="715"/>
      <c r="X239" s="715"/>
      <c r="Y239" s="721"/>
      <c r="Z239" s="232"/>
      <c r="AA239" s="721"/>
      <c r="AB239" s="172"/>
      <c r="AC239" s="144"/>
      <c r="AD239" s="144"/>
      <c r="AE239" s="144"/>
      <c r="AF239" s="144"/>
      <c r="AG239" s="144"/>
      <c r="AH239" s="144"/>
      <c r="AI239" s="144"/>
      <c r="AJ239" s="144"/>
      <c r="AK239" s="144"/>
      <c r="AL239" s="144"/>
      <c r="AM239" s="144"/>
      <c r="AN239" s="144"/>
      <c r="AO239" s="144"/>
      <c r="AP239" s="144"/>
      <c r="AQ239" s="144"/>
      <c r="AR239" s="144"/>
      <c r="AS239" s="144"/>
      <c r="AT239" s="144"/>
      <c r="AU239" s="144"/>
      <c r="AV239" s="144"/>
      <c r="AW239" s="144"/>
      <c r="AX239" s="144"/>
      <c r="AY239" s="144"/>
      <c r="AZ239" s="144"/>
      <c r="BA239" s="144"/>
      <c r="BB239" s="139"/>
      <c r="BC239" s="139"/>
    </row>
    <row r="240" spans="1:55" ht="13.5">
      <c r="A240" s="53"/>
      <c r="B240" s="711"/>
      <c r="C240" s="711"/>
      <c r="D240" s="711"/>
      <c r="E240" s="711"/>
      <c r="F240" s="711"/>
      <c r="G240" s="718"/>
      <c r="H240" s="724"/>
      <c r="I240" s="722"/>
      <c r="J240" s="717"/>
      <c r="K240" s="323"/>
      <c r="L240" s="718"/>
      <c r="M240" s="229"/>
      <c r="N240" s="229"/>
      <c r="O240" s="14"/>
      <c r="P240" s="711"/>
      <c r="Q240" s="711"/>
      <c r="R240" s="715"/>
      <c r="S240" s="715"/>
      <c r="T240" s="715"/>
      <c r="U240" s="715"/>
      <c r="V240" s="715"/>
      <c r="W240" s="715"/>
      <c r="X240" s="715"/>
      <c r="Y240" s="725"/>
      <c r="Z240" s="232"/>
      <c r="AA240" s="725"/>
      <c r="AB240" s="200"/>
      <c r="AC240" s="144"/>
      <c r="AD240" s="144"/>
      <c r="AE240" s="144"/>
      <c r="AF240" s="144"/>
      <c r="AG240" s="144"/>
      <c r="AH240" s="144"/>
      <c r="AI240" s="144"/>
      <c r="AJ240" s="144"/>
      <c r="AK240" s="144"/>
      <c r="AL240" s="144"/>
      <c r="AM240" s="144"/>
      <c r="AN240" s="144"/>
      <c r="AO240" s="144"/>
      <c r="AP240" s="144"/>
      <c r="AQ240" s="144"/>
      <c r="AR240" s="144"/>
      <c r="AS240" s="144"/>
      <c r="AT240" s="144"/>
      <c r="AU240" s="144"/>
      <c r="AV240" s="144"/>
      <c r="AW240" s="144"/>
      <c r="AX240" s="144"/>
      <c r="AY240" s="144"/>
      <c r="AZ240" s="144"/>
      <c r="BA240" s="144"/>
      <c r="BB240" s="139"/>
      <c r="BC240" s="139"/>
    </row>
    <row r="241" spans="1:55" ht="13.5">
      <c r="A241" s="53"/>
      <c r="B241" s="711"/>
      <c r="C241" s="711"/>
      <c r="D241" s="711"/>
      <c r="E241" s="711"/>
      <c r="F241" s="711"/>
      <c r="G241" s="718"/>
      <c r="H241" s="724"/>
      <c r="I241" s="724"/>
      <c r="J241" s="717"/>
      <c r="K241" s="724"/>
      <c r="L241" s="718"/>
      <c r="M241" s="229"/>
      <c r="N241" s="229"/>
      <c r="O241" s="14"/>
      <c r="P241" s="711"/>
      <c r="Q241" s="711"/>
      <c r="R241" s="715"/>
      <c r="S241" s="715"/>
      <c r="T241" s="715"/>
      <c r="U241" s="715"/>
      <c r="V241" s="715"/>
      <c r="W241" s="715"/>
      <c r="X241" s="715"/>
      <c r="Y241" s="721"/>
      <c r="Z241" s="232"/>
      <c r="AA241" s="721"/>
      <c r="AB241" s="172"/>
      <c r="AC241" s="110"/>
      <c r="AD241" s="110"/>
      <c r="AE241" s="110"/>
      <c r="AF241" s="110"/>
      <c r="AG241" s="144"/>
      <c r="AH241" s="144"/>
      <c r="AI241" s="144"/>
      <c r="AJ241" s="144"/>
      <c r="AK241" s="144"/>
      <c r="AL241" s="144"/>
      <c r="AM241" s="144"/>
      <c r="AN241" s="144"/>
      <c r="AO241" s="144"/>
      <c r="AP241" s="144"/>
      <c r="AQ241" s="144"/>
      <c r="AR241" s="144"/>
      <c r="AS241" s="144"/>
      <c r="AT241" s="144"/>
      <c r="AU241" s="144"/>
      <c r="AV241" s="144"/>
      <c r="AW241" s="144"/>
      <c r="AX241" s="144"/>
      <c r="AY241" s="144"/>
      <c r="AZ241" s="144"/>
      <c r="BA241" s="144"/>
      <c r="BB241" s="139"/>
      <c r="BC241" s="139"/>
    </row>
    <row r="242" spans="1:55" ht="13.5">
      <c r="A242" s="53"/>
      <c r="B242" s="711"/>
      <c r="C242" s="711"/>
      <c r="D242" s="711"/>
      <c r="E242" s="711"/>
      <c r="F242" s="711"/>
      <c r="G242" s="323"/>
      <c r="H242" s="724"/>
      <c r="I242" s="724"/>
      <c r="J242" s="717"/>
      <c r="K242" s="724"/>
      <c r="L242" s="718"/>
      <c r="M242" s="229"/>
      <c r="N242" s="229"/>
      <c r="O242" s="14"/>
      <c r="P242" s="711"/>
      <c r="Q242" s="711"/>
      <c r="R242" s="715"/>
      <c r="S242" s="715"/>
      <c r="T242" s="715"/>
      <c r="U242" s="715"/>
      <c r="V242" s="715"/>
      <c r="W242" s="715"/>
      <c r="X242" s="715"/>
      <c r="Y242" s="721"/>
      <c r="Z242" s="232"/>
      <c r="AA242" s="721"/>
      <c r="AB242" s="172"/>
      <c r="AC242" s="110"/>
      <c r="AD242" s="110"/>
      <c r="AE242" s="110"/>
      <c r="AF242" s="110"/>
      <c r="AG242" s="144"/>
      <c r="AH242" s="144"/>
      <c r="AI242" s="144"/>
      <c r="AJ242" s="144"/>
      <c r="AK242" s="144"/>
      <c r="AL242" s="144"/>
      <c r="AM242" s="144"/>
      <c r="AN242" s="144"/>
      <c r="AO242" s="144"/>
      <c r="AP242" s="144"/>
      <c r="AQ242" s="144"/>
      <c r="AR242" s="144"/>
      <c r="AS242" s="144"/>
      <c r="AT242" s="144"/>
      <c r="AU242" s="144"/>
      <c r="AV242" s="144"/>
      <c r="AW242" s="144"/>
      <c r="AX242" s="144"/>
      <c r="AY242" s="144"/>
      <c r="AZ242" s="144"/>
      <c r="BA242" s="144"/>
      <c r="BB242" s="139"/>
      <c r="BC242" s="139"/>
    </row>
    <row r="243" spans="1:55" ht="13.5">
      <c r="A243" s="53"/>
      <c r="B243" s="711"/>
      <c r="C243" s="711"/>
      <c r="D243" s="711"/>
      <c r="E243" s="711"/>
      <c r="F243" s="711"/>
      <c r="G243" s="711"/>
      <c r="H243" s="711"/>
      <c r="I243" s="711"/>
      <c r="J243" s="711"/>
      <c r="K243" s="711"/>
      <c r="L243" s="711"/>
      <c r="M243" s="711"/>
      <c r="N243" s="711"/>
      <c r="O243" s="711"/>
      <c r="P243" s="711"/>
      <c r="Q243" s="711"/>
      <c r="R243" s="711"/>
      <c r="S243" s="715"/>
      <c r="T243" s="715"/>
      <c r="U243" s="715"/>
      <c r="V243" s="715"/>
      <c r="W243" s="715"/>
      <c r="X243" s="715"/>
      <c r="Y243" s="726"/>
      <c r="Z243" s="232"/>
      <c r="AA243" s="726"/>
      <c r="AB243" s="143"/>
      <c r="AC243" s="110"/>
      <c r="AD243" s="110"/>
      <c r="AE243" s="110"/>
      <c r="AF243" s="110"/>
      <c r="AG243" s="144"/>
      <c r="AH243" s="144"/>
      <c r="AI243" s="144"/>
      <c r="AJ243" s="144"/>
      <c r="AK243" s="144"/>
      <c r="AL243" s="144"/>
      <c r="AM243" s="144"/>
      <c r="AN243" s="144"/>
      <c r="AO243" s="144"/>
      <c r="AP243" s="144"/>
      <c r="AQ243" s="144"/>
      <c r="AR243" s="144"/>
      <c r="AS243" s="144"/>
      <c r="AT243" s="144"/>
      <c r="AU243" s="144"/>
      <c r="AV243" s="144"/>
      <c r="AW243" s="144"/>
      <c r="AX243" s="144"/>
      <c r="AY243" s="144"/>
      <c r="AZ243" s="144"/>
      <c r="BA243" s="144"/>
      <c r="BB243" s="139"/>
      <c r="BC243" s="139"/>
    </row>
    <row r="244" spans="1:55" ht="13.5">
      <c r="A244" s="53"/>
      <c r="B244" s="711"/>
      <c r="C244" s="711"/>
      <c r="D244" s="711"/>
      <c r="E244" s="711"/>
      <c r="F244" s="711"/>
      <c r="G244" s="711"/>
      <c r="H244" s="711"/>
      <c r="I244" s="711"/>
      <c r="J244" s="711"/>
      <c r="K244" s="711"/>
      <c r="L244" s="711"/>
      <c r="M244" s="711"/>
      <c r="N244" s="711"/>
      <c r="O244" s="711"/>
      <c r="P244" s="711"/>
      <c r="Q244" s="711"/>
      <c r="R244" s="711"/>
      <c r="S244" s="715"/>
      <c r="T244" s="715"/>
      <c r="U244" s="715"/>
      <c r="V244" s="715"/>
      <c r="W244" s="715"/>
      <c r="X244" s="715"/>
      <c r="Y244" s="727"/>
      <c r="Z244" s="232"/>
      <c r="AA244" s="727"/>
      <c r="AB244" s="144"/>
      <c r="AC244" s="110"/>
      <c r="AD244" s="110"/>
      <c r="AE244" s="110"/>
      <c r="AF244" s="110"/>
      <c r="AG244" s="144"/>
      <c r="AH244" s="144"/>
      <c r="AI244" s="144"/>
      <c r="AJ244" s="144"/>
      <c r="AK244" s="144"/>
      <c r="AL244" s="144"/>
      <c r="AM244" s="144"/>
      <c r="AN244" s="144"/>
      <c r="AO244" s="144"/>
      <c r="AP244" s="144"/>
      <c r="AQ244" s="144"/>
      <c r="AR244" s="144"/>
      <c r="AS244" s="144"/>
      <c r="AT244" s="144"/>
      <c r="AU244" s="144"/>
      <c r="AV244" s="144"/>
      <c r="AW244" s="144"/>
      <c r="AX244" s="144"/>
      <c r="AY244" s="144"/>
      <c r="AZ244" s="144"/>
      <c r="BA244" s="144"/>
      <c r="BB244" s="139"/>
      <c r="BC244" s="139"/>
    </row>
    <row r="245" spans="1:55" ht="13.5">
      <c r="A245" s="53"/>
      <c r="B245" s="711"/>
      <c r="C245" s="711"/>
      <c r="D245" s="711"/>
      <c r="E245" s="711"/>
      <c r="F245" s="711"/>
      <c r="G245" s="711"/>
      <c r="H245" s="711"/>
      <c r="I245" s="711"/>
      <c r="J245" s="711"/>
      <c r="K245" s="711"/>
      <c r="L245" s="711"/>
      <c r="M245" s="711"/>
      <c r="N245" s="711"/>
      <c r="O245" s="711"/>
      <c r="P245" s="711"/>
      <c r="Q245" s="711"/>
      <c r="R245" s="711"/>
      <c r="S245" s="715"/>
      <c r="T245" s="715"/>
      <c r="U245" s="715"/>
      <c r="V245" s="715"/>
      <c r="W245" s="715"/>
      <c r="X245" s="715"/>
      <c r="Y245" s="721"/>
      <c r="Z245" s="232"/>
      <c r="AA245" s="721"/>
      <c r="AB245" s="172"/>
      <c r="AC245" s="110"/>
      <c r="AD245" s="110"/>
      <c r="AE245" s="110"/>
      <c r="AF245" s="110"/>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39"/>
      <c r="BC245" s="139"/>
    </row>
    <row r="246" spans="1:55" ht="13.5">
      <c r="A246" s="53"/>
      <c r="B246" s="711"/>
      <c r="C246" s="711"/>
      <c r="D246" s="711"/>
      <c r="E246" s="711"/>
      <c r="F246" s="711"/>
      <c r="G246" s="711"/>
      <c r="H246" s="711"/>
      <c r="I246" s="711"/>
      <c r="J246" s="711"/>
      <c r="K246" s="711"/>
      <c r="L246" s="711"/>
      <c r="M246" s="711"/>
      <c r="N246" s="711"/>
      <c r="O246" s="711"/>
      <c r="P246" s="711"/>
      <c r="Q246" s="711"/>
      <c r="R246" s="711"/>
      <c r="S246" s="715"/>
      <c r="T246" s="715"/>
      <c r="U246" s="715"/>
      <c r="V246" s="715"/>
      <c r="W246" s="715"/>
      <c r="X246" s="715"/>
      <c r="Y246" s="721"/>
      <c r="Z246" s="232"/>
      <c r="AA246" s="721"/>
      <c r="AB246" s="172"/>
      <c r="AC246" s="110"/>
      <c r="AD246" s="110"/>
      <c r="AE246" s="110"/>
      <c r="AF246" s="110"/>
      <c r="AG246" s="144"/>
      <c r="AH246" s="144"/>
      <c r="AI246" s="144"/>
      <c r="AJ246" s="144"/>
      <c r="AK246" s="144"/>
      <c r="AL246" s="144"/>
      <c r="AM246" s="144"/>
      <c r="AN246" s="144"/>
      <c r="AO246" s="144"/>
      <c r="AP246" s="144"/>
      <c r="AQ246" s="144"/>
      <c r="AR246" s="144"/>
      <c r="AS246" s="144"/>
      <c r="AT246" s="144"/>
      <c r="AU246" s="144"/>
      <c r="AV246" s="144"/>
      <c r="AW246" s="144"/>
      <c r="AX246" s="144"/>
      <c r="AY246" s="144"/>
      <c r="AZ246" s="144"/>
      <c r="BA246" s="144"/>
      <c r="BB246" s="139"/>
      <c r="BC246" s="139"/>
    </row>
    <row r="247" spans="1:55" ht="13.5">
      <c r="A247" s="53"/>
      <c r="B247" s="711"/>
      <c r="C247" s="711"/>
      <c r="D247" s="711"/>
      <c r="E247" s="711"/>
      <c r="F247" s="711"/>
      <c r="G247" s="711"/>
      <c r="H247" s="711"/>
      <c r="I247" s="711"/>
      <c r="J247" s="711"/>
      <c r="K247" s="711"/>
      <c r="L247" s="711"/>
      <c r="M247" s="711"/>
      <c r="N247" s="711"/>
      <c r="O247" s="711"/>
      <c r="P247" s="711"/>
      <c r="Q247" s="711"/>
      <c r="R247" s="711"/>
      <c r="S247" s="715"/>
      <c r="T247" s="715"/>
      <c r="U247" s="715"/>
      <c r="V247" s="715"/>
      <c r="W247" s="715"/>
      <c r="X247" s="715"/>
      <c r="Y247" s="721"/>
      <c r="Z247" s="232"/>
      <c r="AA247" s="721"/>
      <c r="AB247" s="172"/>
      <c r="AC247" s="110"/>
      <c r="AD247" s="110"/>
      <c r="AE247" s="110"/>
      <c r="AF247" s="110"/>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39"/>
      <c r="BC247" s="139"/>
    </row>
    <row r="248" spans="1:55" ht="13.5">
      <c r="A248" s="53"/>
      <c r="B248" s="711"/>
      <c r="C248" s="711"/>
      <c r="D248" s="711"/>
      <c r="E248" s="711"/>
      <c r="F248" s="711"/>
      <c r="G248" s="711"/>
      <c r="H248" s="711"/>
      <c r="I248" s="711"/>
      <c r="J248" s="711"/>
      <c r="K248" s="711"/>
      <c r="L248" s="711"/>
      <c r="M248" s="711"/>
      <c r="N248" s="711"/>
      <c r="O248" s="711"/>
      <c r="P248" s="711"/>
      <c r="Q248" s="711"/>
      <c r="R248" s="711"/>
      <c r="S248" s="715"/>
      <c r="T248" s="715"/>
      <c r="U248" s="715"/>
      <c r="V248" s="715"/>
      <c r="W248" s="715"/>
      <c r="X248" s="715"/>
      <c r="Y248" s="721"/>
      <c r="Z248" s="232"/>
      <c r="AA248" s="721"/>
      <c r="AB248" s="172"/>
      <c r="AC248" s="110"/>
      <c r="AD248" s="110"/>
      <c r="AE248" s="110"/>
      <c r="AF248" s="110"/>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39"/>
      <c r="BC248" s="139"/>
    </row>
    <row r="249" spans="1:55" ht="13.5">
      <c r="A249" s="53"/>
      <c r="B249" s="711"/>
      <c r="C249" s="711"/>
      <c r="D249" s="711"/>
      <c r="E249" s="711"/>
      <c r="F249" s="711"/>
      <c r="G249" s="711"/>
      <c r="H249" s="711"/>
      <c r="I249" s="711"/>
      <c r="J249" s="711"/>
      <c r="K249" s="711"/>
      <c r="L249" s="711"/>
      <c r="M249" s="711"/>
      <c r="N249" s="711"/>
      <c r="O249" s="711"/>
      <c r="P249" s="711"/>
      <c r="Q249" s="711"/>
      <c r="R249" s="711"/>
      <c r="S249" s="715"/>
      <c r="T249" s="715"/>
      <c r="U249" s="715"/>
      <c r="V249" s="715"/>
      <c r="W249" s="715"/>
      <c r="X249" s="715"/>
      <c r="Y249" s="721"/>
      <c r="Z249" s="232"/>
      <c r="AA249" s="721"/>
      <c r="AB249" s="172"/>
      <c r="AC249" s="110"/>
      <c r="AD249" s="110"/>
      <c r="AE249" s="110"/>
      <c r="AF249" s="110"/>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39"/>
      <c r="BC249" s="139"/>
    </row>
    <row r="250" spans="1:55" ht="13.5">
      <c r="A250" s="53"/>
      <c r="B250" s="711"/>
      <c r="C250" s="711"/>
      <c r="D250" s="711"/>
      <c r="E250" s="711"/>
      <c r="F250" s="711"/>
      <c r="G250" s="711"/>
      <c r="H250" s="711"/>
      <c r="I250" s="711"/>
      <c r="J250" s="711"/>
      <c r="K250" s="711"/>
      <c r="L250" s="711"/>
      <c r="M250" s="711"/>
      <c r="N250" s="711"/>
      <c r="O250" s="711"/>
      <c r="P250" s="711"/>
      <c r="Q250" s="711"/>
      <c r="R250" s="711"/>
      <c r="S250" s="715"/>
      <c r="T250" s="715"/>
      <c r="U250" s="715"/>
      <c r="V250" s="715"/>
      <c r="W250" s="715"/>
      <c r="X250" s="715"/>
      <c r="Y250" s="721"/>
      <c r="Z250" s="232"/>
      <c r="AA250" s="721"/>
      <c r="AB250" s="172"/>
      <c r="AC250" s="110"/>
      <c r="AD250" s="110"/>
      <c r="AE250" s="110"/>
      <c r="AF250" s="110"/>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39"/>
      <c r="BC250" s="139"/>
    </row>
    <row r="251" spans="1:55" ht="13.5">
      <c r="A251" s="53"/>
      <c r="B251" s="711"/>
      <c r="C251" s="711"/>
      <c r="D251" s="711"/>
      <c r="E251" s="711"/>
      <c r="F251" s="711"/>
      <c r="G251" s="711"/>
      <c r="H251" s="711"/>
      <c r="I251" s="711"/>
      <c r="J251" s="711"/>
      <c r="K251" s="711"/>
      <c r="L251" s="711"/>
      <c r="M251" s="711"/>
      <c r="N251" s="711"/>
      <c r="O251" s="711"/>
      <c r="P251" s="711"/>
      <c r="Q251" s="711"/>
      <c r="R251" s="711"/>
      <c r="S251" s="715"/>
      <c r="T251" s="715"/>
      <c r="U251" s="715"/>
      <c r="V251" s="715"/>
      <c r="W251" s="715"/>
      <c r="X251" s="715"/>
      <c r="Y251" s="721"/>
      <c r="Z251" s="232"/>
      <c r="AA251" s="721"/>
      <c r="AB251" s="172"/>
      <c r="AC251" s="110"/>
      <c r="AD251" s="110"/>
      <c r="AE251" s="110"/>
      <c r="AF251" s="110"/>
      <c r="AG251" s="144"/>
      <c r="AH251" s="144"/>
      <c r="AI251" s="144"/>
      <c r="AJ251" s="144"/>
      <c r="AK251" s="144"/>
      <c r="AL251" s="144"/>
      <c r="AM251" s="144"/>
      <c r="AN251" s="144"/>
      <c r="AO251" s="144"/>
      <c r="AP251" s="144"/>
      <c r="AQ251" s="144"/>
      <c r="AR251" s="144"/>
      <c r="AS251" s="144"/>
      <c r="AT251" s="144"/>
      <c r="AU251" s="144"/>
      <c r="AV251" s="144"/>
      <c r="AW251" s="144"/>
      <c r="AX251" s="144"/>
      <c r="AY251" s="144"/>
      <c r="AZ251" s="144"/>
      <c r="BA251" s="144"/>
      <c r="BB251" s="139"/>
      <c r="BC251" s="139"/>
    </row>
    <row r="252" spans="1:55" ht="13.5">
      <c r="A252" s="53"/>
      <c r="B252" s="711"/>
      <c r="C252" s="711"/>
      <c r="D252" s="711"/>
      <c r="E252" s="711"/>
      <c r="F252" s="711"/>
      <c r="G252" s="711"/>
      <c r="H252" s="711"/>
      <c r="I252" s="711"/>
      <c r="J252" s="711"/>
      <c r="K252" s="711"/>
      <c r="L252" s="711"/>
      <c r="M252" s="711"/>
      <c r="N252" s="711"/>
      <c r="O252" s="711"/>
      <c r="P252" s="711"/>
      <c r="Q252" s="711"/>
      <c r="R252" s="711"/>
      <c r="S252" s="715"/>
      <c r="T252" s="715"/>
      <c r="U252" s="715"/>
      <c r="V252" s="715"/>
      <c r="W252" s="715"/>
      <c r="X252" s="715"/>
      <c r="Y252" s="721"/>
      <c r="Z252" s="232"/>
      <c r="AA252" s="721"/>
      <c r="AB252" s="172"/>
      <c r="AC252" s="110"/>
      <c r="AD252" s="110"/>
      <c r="AE252" s="110"/>
      <c r="AF252" s="110"/>
      <c r="AG252" s="144"/>
      <c r="AH252" s="144"/>
      <c r="AI252" s="144"/>
      <c r="AJ252" s="144"/>
      <c r="AK252" s="144"/>
      <c r="AL252" s="144"/>
      <c r="AM252" s="144"/>
      <c r="AN252" s="144"/>
      <c r="AO252" s="144"/>
      <c r="AP252" s="144"/>
      <c r="AQ252" s="144"/>
      <c r="AR252" s="144"/>
      <c r="AS252" s="144"/>
      <c r="AT252" s="144"/>
      <c r="AU252" s="144"/>
      <c r="AV252" s="144"/>
      <c r="AW252" s="144"/>
      <c r="AX252" s="144"/>
      <c r="AY252" s="144"/>
      <c r="AZ252" s="144"/>
      <c r="BA252" s="144"/>
      <c r="BB252" s="139"/>
      <c r="BC252" s="139"/>
    </row>
    <row r="253" spans="1:55" ht="15" customHeight="1">
      <c r="A253" s="53"/>
      <c r="B253" s="711"/>
      <c r="C253" s="711"/>
      <c r="D253" s="711"/>
      <c r="E253" s="711"/>
      <c r="F253" s="711"/>
      <c r="G253" s="711"/>
      <c r="H253" s="711"/>
      <c r="I253" s="711"/>
      <c r="J253" s="711"/>
      <c r="K253" s="711"/>
      <c r="L253" s="711"/>
      <c r="M253" s="711"/>
      <c r="N253" s="711"/>
      <c r="O253" s="711"/>
      <c r="P253" s="711"/>
      <c r="Q253" s="711"/>
      <c r="R253" s="711"/>
      <c r="S253" s="715"/>
      <c r="T253" s="715"/>
      <c r="U253" s="715"/>
      <c r="V253" s="715"/>
      <c r="W253" s="715"/>
      <c r="X253" s="715"/>
      <c r="Y253" s="721"/>
      <c r="Z253" s="232"/>
      <c r="AA253" s="721"/>
      <c r="AB253" s="172"/>
      <c r="AC253" s="110"/>
      <c r="AD253" s="110"/>
      <c r="AE253" s="110"/>
      <c r="AF253" s="144"/>
      <c r="AG253" s="144"/>
      <c r="AH253" s="144"/>
      <c r="AI253" s="144"/>
      <c r="AJ253" s="144"/>
      <c r="AK253" s="144"/>
      <c r="AL253" s="144"/>
      <c r="AM253" s="144"/>
      <c r="AN253" s="144"/>
      <c r="AO253" s="144"/>
      <c r="AP253" s="144"/>
      <c r="AQ253" s="144"/>
      <c r="AR253" s="144"/>
      <c r="AS253" s="144"/>
      <c r="AT253" s="144"/>
      <c r="AU253" s="144"/>
      <c r="AV253" s="144"/>
      <c r="AW253" s="144"/>
      <c r="AX253" s="144"/>
      <c r="AY253" s="144"/>
      <c r="AZ253" s="144"/>
      <c r="BA253" s="144"/>
      <c r="BB253" s="139"/>
      <c r="BC253" s="139"/>
    </row>
    <row r="254" spans="1:55" ht="13.5">
      <c r="A254" s="53"/>
      <c r="B254" s="711"/>
      <c r="C254" s="711"/>
      <c r="D254" s="711"/>
      <c r="E254" s="711"/>
      <c r="F254" s="711"/>
      <c r="G254" s="711"/>
      <c r="H254" s="711"/>
      <c r="I254" s="711"/>
      <c r="J254" s="711"/>
      <c r="K254" s="711"/>
      <c r="L254" s="711"/>
      <c r="M254" s="711"/>
      <c r="N254" s="711"/>
      <c r="O254" s="711"/>
      <c r="P254" s="711"/>
      <c r="Q254" s="711"/>
      <c r="R254" s="711"/>
      <c r="S254" s="715"/>
      <c r="T254" s="715"/>
      <c r="U254" s="715"/>
      <c r="V254" s="715"/>
      <c r="W254" s="715"/>
      <c r="X254" s="715"/>
      <c r="Y254" s="721"/>
      <c r="Z254" s="232"/>
      <c r="AA254" s="721"/>
      <c r="AB254" s="172"/>
      <c r="AC254" s="110"/>
      <c r="AD254" s="110"/>
      <c r="AE254" s="110"/>
      <c r="AF254" s="144"/>
      <c r="AG254" s="144"/>
      <c r="AH254" s="144"/>
      <c r="AI254" s="144"/>
      <c r="AJ254" s="144"/>
      <c r="AK254" s="144"/>
      <c r="AL254" s="144"/>
      <c r="AM254" s="144"/>
      <c r="AN254" s="144"/>
      <c r="AO254" s="144"/>
      <c r="AP254" s="144"/>
      <c r="AQ254" s="144"/>
      <c r="AR254" s="144"/>
      <c r="AS254" s="144"/>
      <c r="AT254" s="144"/>
      <c r="AU254" s="144"/>
      <c r="AV254" s="144"/>
      <c r="AW254" s="144"/>
      <c r="AX254" s="144"/>
      <c r="AY254" s="144"/>
      <c r="AZ254" s="144"/>
      <c r="BA254" s="144"/>
      <c r="BB254" s="139"/>
      <c r="BC254" s="139"/>
    </row>
    <row r="255" spans="1:55" ht="13.5">
      <c r="A255" s="53"/>
      <c r="B255" s="711"/>
      <c r="C255" s="711"/>
      <c r="D255" s="711"/>
      <c r="E255" s="711"/>
      <c r="F255" s="711"/>
      <c r="G255" s="711"/>
      <c r="H255" s="711"/>
      <c r="I255" s="711"/>
      <c r="J255" s="711"/>
      <c r="K255" s="711"/>
      <c r="L255" s="711"/>
      <c r="M255" s="711"/>
      <c r="N255" s="711"/>
      <c r="O255" s="711"/>
      <c r="P255" s="711"/>
      <c r="Q255" s="711"/>
      <c r="R255" s="711"/>
      <c r="S255" s="715"/>
      <c r="T255" s="715"/>
      <c r="U255" s="715"/>
      <c r="V255" s="715"/>
      <c r="W255" s="715"/>
      <c r="X255" s="715"/>
      <c r="Y255" s="721"/>
      <c r="Z255" s="232"/>
      <c r="AA255" s="721"/>
      <c r="AB255" s="172"/>
      <c r="AC255" s="110"/>
      <c r="AD255" s="110"/>
      <c r="AE255" s="110"/>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39"/>
      <c r="BC255" s="139"/>
    </row>
    <row r="256" spans="1:55" ht="13.5">
      <c r="A256" s="36"/>
      <c r="B256" s="718"/>
      <c r="C256" s="718"/>
      <c r="D256" s="718"/>
      <c r="E256" s="718"/>
      <c r="F256" s="718"/>
      <c r="G256" s="711"/>
      <c r="H256" s="711"/>
      <c r="I256" s="711"/>
      <c r="J256" s="711"/>
      <c r="K256" s="711"/>
      <c r="L256" s="711"/>
      <c r="M256" s="711"/>
      <c r="N256" s="711"/>
      <c r="O256" s="711"/>
      <c r="P256" s="711"/>
      <c r="Q256" s="711"/>
      <c r="R256" s="711"/>
      <c r="S256" s="715"/>
      <c r="T256" s="715"/>
      <c r="U256" s="715"/>
      <c r="V256" s="715"/>
      <c r="W256" s="715"/>
      <c r="X256" s="715"/>
      <c r="Y256" s="721"/>
      <c r="Z256" s="232"/>
      <c r="AA256" s="721"/>
      <c r="AB256" s="172"/>
      <c r="AC256" s="110"/>
      <c r="AD256" s="110"/>
      <c r="AE256" s="110"/>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39"/>
      <c r="BC256" s="139"/>
    </row>
    <row r="257" spans="1:55" ht="13.5">
      <c r="A257" s="36"/>
      <c r="B257" s="718"/>
      <c r="C257" s="718"/>
      <c r="D257" s="718"/>
      <c r="E257" s="718"/>
      <c r="F257" s="718"/>
      <c r="G257" s="711"/>
      <c r="H257" s="711"/>
      <c r="I257" s="711"/>
      <c r="J257" s="711"/>
      <c r="K257" s="711"/>
      <c r="L257" s="711"/>
      <c r="M257" s="711"/>
      <c r="N257" s="711"/>
      <c r="O257" s="711"/>
      <c r="P257" s="711"/>
      <c r="Q257" s="711"/>
      <c r="R257" s="711"/>
      <c r="S257" s="715"/>
      <c r="T257" s="715"/>
      <c r="U257" s="715"/>
      <c r="V257" s="715"/>
      <c r="W257" s="715"/>
      <c r="X257" s="715"/>
      <c r="Y257" s="721"/>
      <c r="Z257" s="232"/>
      <c r="AA257" s="721"/>
      <c r="AB257" s="172"/>
      <c r="AC257" s="110"/>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39"/>
      <c r="BC257" s="139"/>
    </row>
    <row r="258" spans="1:55" ht="13.5">
      <c r="A258" s="36"/>
      <c r="B258" s="718"/>
      <c r="C258" s="718"/>
      <c r="D258" s="718"/>
      <c r="E258" s="718"/>
      <c r="F258" s="718"/>
      <c r="G258" s="718"/>
      <c r="H258" s="718"/>
      <c r="I258" s="718"/>
      <c r="J258" s="728"/>
      <c r="K258" s="720"/>
      <c r="L258" s="323"/>
      <c r="M258" s="711"/>
      <c r="N258" s="711"/>
      <c r="O258" s="711"/>
      <c r="P258" s="720"/>
      <c r="Q258" s="711"/>
      <c r="R258" s="711"/>
      <c r="S258" s="715"/>
      <c r="T258" s="715"/>
      <c r="U258" s="715"/>
      <c r="V258" s="715"/>
      <c r="W258" s="729"/>
      <c r="X258" s="729"/>
      <c r="Y258" s="727"/>
      <c r="Z258" s="232"/>
      <c r="AA258" s="721"/>
      <c r="AB258" s="172"/>
      <c r="AC258" s="110"/>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39"/>
      <c r="BC258" s="139"/>
    </row>
    <row r="259" spans="1:55" ht="13.5">
      <c r="A259" s="53"/>
      <c r="B259" s="718"/>
      <c r="C259" s="718"/>
      <c r="D259" s="730"/>
      <c r="E259" s="730"/>
      <c r="F259" s="718"/>
      <c r="G259" s="718"/>
      <c r="H259" s="718"/>
      <c r="I259" s="718"/>
      <c r="J259" s="728"/>
      <c r="K259" s="20"/>
      <c r="L259" s="323"/>
      <c r="M259" s="711"/>
      <c r="N259" s="711"/>
      <c r="O259" s="711"/>
      <c r="P259" s="20"/>
      <c r="Q259" s="711"/>
      <c r="R259" s="711"/>
      <c r="S259" s="715"/>
      <c r="T259" s="715"/>
      <c r="U259" s="715"/>
      <c r="V259" s="715"/>
      <c r="W259" s="206"/>
      <c r="X259" s="206"/>
      <c r="Y259" s="727"/>
      <c r="Z259" s="232"/>
      <c r="AA259" s="721"/>
      <c r="AB259" s="172"/>
      <c r="AC259" s="110"/>
      <c r="AD259" s="144"/>
      <c r="AE259" s="144"/>
      <c r="AF259" s="144"/>
      <c r="AG259" s="144"/>
      <c r="AH259" s="144"/>
      <c r="AI259" s="144"/>
      <c r="AJ259" s="144"/>
      <c r="AK259" s="144"/>
      <c r="AL259" s="144"/>
      <c r="AM259" s="144"/>
      <c r="AN259" s="144"/>
      <c r="AO259" s="144"/>
      <c r="AP259" s="144"/>
      <c r="AQ259" s="144"/>
      <c r="AR259" s="144"/>
      <c r="AS259" s="144"/>
      <c r="AT259" s="144"/>
      <c r="AU259" s="144"/>
      <c r="AV259" s="144"/>
      <c r="AW259" s="144"/>
      <c r="AX259" s="144"/>
      <c r="AY259" s="144"/>
      <c r="AZ259" s="144"/>
      <c r="BA259" s="144"/>
      <c r="BB259" s="139"/>
      <c r="BC259" s="139"/>
    </row>
    <row r="260" spans="1:55" ht="13.5">
      <c r="A260" s="53"/>
      <c r="B260" s="219"/>
      <c r="C260" s="219"/>
      <c r="D260" s="219"/>
      <c r="E260" s="219"/>
      <c r="F260" s="718"/>
      <c r="G260" s="718"/>
      <c r="H260" s="718"/>
      <c r="I260" s="718"/>
      <c r="J260" s="728"/>
      <c r="K260" s="230"/>
      <c r="L260" s="323"/>
      <c r="M260" s="711"/>
      <c r="N260" s="711"/>
      <c r="O260" s="711"/>
      <c r="P260" s="20"/>
      <c r="Q260" s="711"/>
      <c r="R260" s="711"/>
      <c r="S260" s="715"/>
      <c r="T260" s="715"/>
      <c r="U260" s="715"/>
      <c r="V260" s="715"/>
      <c r="W260" s="206"/>
      <c r="X260" s="206"/>
      <c r="Y260" s="323"/>
      <c r="Z260" s="232"/>
      <c r="AA260" s="721"/>
      <c r="AB260" s="172"/>
      <c r="AC260" s="110"/>
      <c r="AD260" s="144"/>
      <c r="AE260" s="144"/>
      <c r="AF260" s="144"/>
      <c r="AG260" s="144"/>
      <c r="AH260" s="144"/>
      <c r="AI260" s="144"/>
      <c r="AJ260" s="144"/>
      <c r="AK260" s="144"/>
      <c r="AL260" s="144"/>
      <c r="AM260" s="144"/>
      <c r="AN260" s="144"/>
      <c r="AO260" s="144"/>
      <c r="AP260" s="144"/>
      <c r="AQ260" s="144"/>
      <c r="AR260" s="144"/>
      <c r="AS260" s="144"/>
      <c r="AT260" s="144"/>
      <c r="AU260" s="144"/>
      <c r="AV260" s="144"/>
      <c r="AW260" s="144"/>
      <c r="AX260" s="144"/>
      <c r="AY260" s="144"/>
      <c r="AZ260" s="144"/>
      <c r="BA260" s="144"/>
      <c r="BB260" s="139"/>
      <c r="BC260" s="139"/>
    </row>
    <row r="261" spans="1:55" ht="13.5">
      <c r="A261" s="53"/>
      <c r="B261" s="711"/>
      <c r="C261" s="711"/>
      <c r="D261" s="711"/>
      <c r="E261" s="711"/>
      <c r="F261" s="718"/>
      <c r="G261" s="718"/>
      <c r="H261" s="718"/>
      <c r="I261" s="718"/>
      <c r="J261" s="323"/>
      <c r="K261" s="231"/>
      <c r="L261" s="323"/>
      <c r="M261" s="711"/>
      <c r="N261" s="711"/>
      <c r="O261" s="711"/>
      <c r="P261" s="231"/>
      <c r="Q261" s="711"/>
      <c r="R261" s="711"/>
      <c r="S261" s="715"/>
      <c r="T261" s="715"/>
      <c r="U261" s="715"/>
      <c r="V261" s="715"/>
      <c r="W261" s="206"/>
      <c r="X261" s="206"/>
      <c r="Y261" s="323"/>
      <c r="Z261" s="232"/>
      <c r="AA261" s="721"/>
      <c r="AB261" s="172"/>
      <c r="AC261" s="110"/>
      <c r="AD261" s="110"/>
      <c r="AE261" s="110"/>
      <c r="AF261" s="110"/>
      <c r="AG261" s="110"/>
      <c r="AH261" s="110"/>
      <c r="AI261" s="110"/>
      <c r="AJ261" s="110"/>
      <c r="AK261" s="110"/>
      <c r="AL261" s="110"/>
      <c r="AM261" s="110"/>
      <c r="AN261" s="110"/>
      <c r="AO261" s="110"/>
      <c r="AP261" s="110"/>
      <c r="AQ261" s="110"/>
      <c r="AR261" s="110"/>
      <c r="AS261" s="110"/>
      <c r="AT261" s="110"/>
      <c r="AU261" s="110"/>
      <c r="AV261" s="110"/>
      <c r="AW261" s="110"/>
      <c r="AX261" s="110"/>
      <c r="AY261" s="110"/>
      <c r="AZ261" s="110"/>
      <c r="BA261" s="110"/>
      <c r="BB261" s="139"/>
      <c r="BC261" s="139"/>
    </row>
    <row r="262" spans="2:27" ht="13.5">
      <c r="B262" s="731"/>
      <c r="C262" s="731"/>
      <c r="D262" s="731"/>
      <c r="E262" s="731"/>
      <c r="F262" s="731"/>
      <c r="U262" s="731"/>
      <c r="V262" s="731"/>
      <c r="W262" s="731"/>
      <c r="X262" s="731"/>
      <c r="Y262" s="731"/>
      <c r="Z262" s="731"/>
      <c r="AA262" s="731"/>
    </row>
    <row r="263" spans="2:27" ht="13.5">
      <c r="B263" s="731"/>
      <c r="C263" s="731"/>
      <c r="D263" s="731"/>
      <c r="E263" s="731"/>
      <c r="F263" s="731"/>
      <c r="W263" s="731"/>
      <c r="X263" s="731"/>
      <c r="Y263" s="731"/>
      <c r="Z263" s="731"/>
      <c r="AA263" s="731"/>
    </row>
    <row r="264" spans="2:27" ht="13.5">
      <c r="B264" s="731"/>
      <c r="C264" s="731"/>
      <c r="D264" s="731"/>
      <c r="E264" s="731"/>
      <c r="W264" s="731"/>
      <c r="X264" s="731"/>
      <c r="Y264" s="731"/>
      <c r="Z264" s="731"/>
      <c r="AA264" s="731"/>
    </row>
    <row r="265" spans="2:27" ht="13.5">
      <c r="B265" s="731"/>
      <c r="C265" s="731"/>
      <c r="D265" s="731"/>
      <c r="E265" s="731"/>
      <c r="W265" s="731"/>
      <c r="X265" s="731"/>
      <c r="Y265" s="731"/>
      <c r="Z265" s="731"/>
      <c r="AA265" s="731"/>
    </row>
    <row r="266" spans="2:27" ht="13.5">
      <c r="B266" s="731"/>
      <c r="C266" s="731"/>
      <c r="D266" s="731"/>
      <c r="E266" s="731"/>
      <c r="W266" s="731"/>
      <c r="X266" s="731"/>
      <c r="Y266" s="731"/>
      <c r="Z266" s="731"/>
      <c r="AA266" s="731"/>
    </row>
    <row r="267" spans="2:27" ht="13.5">
      <c r="B267" s="731"/>
      <c r="C267" s="731"/>
      <c r="D267" s="731"/>
      <c r="E267" s="731"/>
      <c r="W267" s="731"/>
      <c r="X267" s="731"/>
      <c r="Y267" s="731"/>
      <c r="Z267" s="731"/>
      <c r="AA267" s="731"/>
    </row>
    <row r="268" spans="2:27" ht="13.5">
      <c r="B268" s="731"/>
      <c r="C268" s="731"/>
      <c r="D268" s="731"/>
      <c r="E268" s="731"/>
      <c r="W268" s="731"/>
      <c r="X268" s="731"/>
      <c r="Y268" s="731"/>
      <c r="Z268" s="731"/>
      <c r="AA268" s="731"/>
    </row>
    <row r="269" spans="2:27" ht="13.5">
      <c r="B269" s="731"/>
      <c r="C269" s="731"/>
      <c r="D269" s="731"/>
      <c r="E269" s="731"/>
      <c r="W269" s="731"/>
      <c r="X269" s="731"/>
      <c r="Y269" s="731"/>
      <c r="Z269" s="731"/>
      <c r="AA269" s="731"/>
    </row>
    <row r="270" spans="2:27" ht="13.5">
      <c r="B270" s="731"/>
      <c r="C270" s="731"/>
      <c r="D270" s="731"/>
      <c r="E270" s="731"/>
      <c r="U270" s="731"/>
      <c r="V270" s="731"/>
      <c r="W270" s="731"/>
      <c r="X270" s="731"/>
      <c r="Y270" s="731"/>
      <c r="Z270" s="731"/>
      <c r="AA270" s="731"/>
    </row>
    <row r="271" spans="2:27" ht="13.5">
      <c r="B271" s="731"/>
      <c r="C271" s="731"/>
      <c r="D271" s="731"/>
      <c r="E271" s="731"/>
      <c r="U271" s="731"/>
      <c r="V271" s="731"/>
      <c r="W271" s="731"/>
      <c r="X271" s="731"/>
      <c r="Y271" s="731"/>
      <c r="Z271" s="731"/>
      <c r="AA271" s="731"/>
    </row>
    <row r="272" spans="2:27" ht="13.5">
      <c r="B272" s="731"/>
      <c r="C272" s="731"/>
      <c r="D272" s="731"/>
      <c r="E272" s="731"/>
      <c r="U272" s="731"/>
      <c r="V272" s="731"/>
      <c r="W272" s="731"/>
      <c r="X272" s="731"/>
      <c r="Y272" s="731"/>
      <c r="Z272" s="731"/>
      <c r="AA272" s="731"/>
    </row>
    <row r="273" spans="2:27" ht="13.5">
      <c r="B273" s="731"/>
      <c r="C273" s="731"/>
      <c r="D273" s="731"/>
      <c r="E273" s="731"/>
      <c r="U273" s="731"/>
      <c r="V273" s="731"/>
      <c r="W273" s="731"/>
      <c r="X273" s="731"/>
      <c r="Y273" s="731"/>
      <c r="Z273" s="731"/>
      <c r="AA273" s="731"/>
    </row>
    <row r="274" spans="2:27" ht="13.5">
      <c r="B274" s="731"/>
      <c r="C274" s="731"/>
      <c r="D274" s="731"/>
      <c r="E274" s="731"/>
      <c r="W274" s="731"/>
      <c r="X274" s="731"/>
      <c r="Y274" s="731"/>
      <c r="Z274" s="731"/>
      <c r="AA274" s="731"/>
    </row>
    <row r="275" spans="2:27" ht="13.5">
      <c r="B275" s="731"/>
      <c r="C275" s="731"/>
      <c r="D275" s="731"/>
      <c r="E275" s="731"/>
      <c r="W275" s="731"/>
      <c r="X275" s="731"/>
      <c r="Y275" s="731"/>
      <c r="Z275" s="731"/>
      <c r="AA275" s="731"/>
    </row>
    <row r="276" spans="2:27" ht="13.5">
      <c r="B276" s="731"/>
      <c r="C276" s="731"/>
      <c r="D276" s="731"/>
      <c r="E276" s="731"/>
      <c r="W276" s="731"/>
      <c r="X276" s="731"/>
      <c r="Y276" s="731"/>
      <c r="Z276" s="731"/>
      <c r="AA276" s="731"/>
    </row>
    <row r="277" spans="2:27" ht="13.5">
      <c r="B277" s="731"/>
      <c r="C277" s="731"/>
      <c r="D277" s="731"/>
      <c r="E277" s="731"/>
      <c r="W277" s="731"/>
      <c r="X277" s="731"/>
      <c r="Y277" s="731"/>
      <c r="Z277" s="731"/>
      <c r="AA277" s="731"/>
    </row>
    <row r="278" spans="2:27" ht="13.5">
      <c r="B278" s="731"/>
      <c r="C278" s="731"/>
      <c r="D278" s="731"/>
      <c r="E278" s="731"/>
      <c r="F278" s="731"/>
      <c r="G278" s="731"/>
      <c r="W278" s="731"/>
      <c r="X278" s="731"/>
      <c r="Y278" s="731"/>
      <c r="Z278" s="731"/>
      <c r="AA278" s="731"/>
    </row>
    <row r="279" spans="2:27" ht="13.5">
      <c r="B279" s="731"/>
      <c r="C279" s="731"/>
      <c r="D279" s="731"/>
      <c r="E279" s="731"/>
      <c r="F279" s="731"/>
      <c r="G279" s="731"/>
      <c r="W279" s="731"/>
      <c r="X279" s="731"/>
      <c r="Y279" s="731"/>
      <c r="Z279" s="731"/>
      <c r="AA279" s="731"/>
    </row>
    <row r="280" spans="2:27" ht="13.5">
      <c r="B280" s="731"/>
      <c r="C280" s="731"/>
      <c r="D280" s="731"/>
      <c r="E280" s="731"/>
      <c r="F280" s="731"/>
      <c r="G280" s="731"/>
      <c r="W280" s="731"/>
      <c r="X280" s="731"/>
      <c r="Y280" s="731"/>
      <c r="Z280" s="731"/>
      <c r="AA280" s="731"/>
    </row>
    <row r="281" spans="2:27" ht="13.5">
      <c r="B281" s="731"/>
      <c r="C281" s="731"/>
      <c r="D281" s="731"/>
      <c r="E281" s="731"/>
      <c r="F281" s="731"/>
      <c r="G281" s="731"/>
      <c r="W281" s="731"/>
      <c r="X281" s="731"/>
      <c r="Y281" s="731"/>
      <c r="Z281" s="731"/>
      <c r="AA281" s="731"/>
    </row>
    <row r="282" spans="2:27" ht="13.5">
      <c r="B282" s="731"/>
      <c r="C282" s="731"/>
      <c r="D282" s="731"/>
      <c r="E282" s="731"/>
      <c r="F282" s="731"/>
      <c r="G282" s="731"/>
      <c r="W282" s="731"/>
      <c r="X282" s="731"/>
      <c r="Y282" s="731"/>
      <c r="Z282" s="731"/>
      <c r="AA282" s="731"/>
    </row>
    <row r="283" spans="2:27" ht="13.5">
      <c r="B283" s="731"/>
      <c r="C283" s="731"/>
      <c r="D283" s="731"/>
      <c r="E283" s="731"/>
      <c r="F283" s="731"/>
      <c r="G283" s="731"/>
      <c r="W283" s="731"/>
      <c r="X283" s="731"/>
      <c r="Y283" s="731"/>
      <c r="Z283" s="731"/>
      <c r="AA283" s="731"/>
    </row>
    <row r="284" spans="2:27" ht="13.5">
      <c r="B284" s="731"/>
      <c r="C284" s="731"/>
      <c r="D284" s="731"/>
      <c r="E284" s="731"/>
      <c r="F284" s="731"/>
      <c r="G284" s="731"/>
      <c r="W284" s="731"/>
      <c r="X284" s="731"/>
      <c r="Y284" s="731"/>
      <c r="Z284" s="731"/>
      <c r="AA284" s="731"/>
    </row>
    <row r="285" spans="2:27" ht="13.5">
      <c r="B285" s="731"/>
      <c r="C285" s="731"/>
      <c r="D285" s="731"/>
      <c r="E285" s="731"/>
      <c r="F285" s="731"/>
      <c r="G285" s="731"/>
      <c r="W285" s="731"/>
      <c r="X285" s="731"/>
      <c r="Y285" s="731"/>
      <c r="Z285" s="731"/>
      <c r="AA285" s="731"/>
    </row>
    <row r="286" spans="2:27" ht="13.5">
      <c r="B286" s="731"/>
      <c r="C286" s="731"/>
      <c r="D286" s="731"/>
      <c r="E286" s="731"/>
      <c r="F286" s="731"/>
      <c r="G286" s="731"/>
      <c r="W286" s="731"/>
      <c r="X286" s="731"/>
      <c r="Y286" s="731"/>
      <c r="Z286" s="731"/>
      <c r="AA286" s="731"/>
    </row>
  </sheetData>
  <sheetProtection password="FA80" sheet="1" objects="1" scenarios="1" formatCells="0" formatColumns="0"/>
  <mergeCells count="275">
    <mergeCell ref="H113:I113"/>
    <mergeCell ref="K94:N94"/>
    <mergeCell ref="G51:I51"/>
    <mergeCell ref="G46:I46"/>
    <mergeCell ref="G56:I56"/>
    <mergeCell ref="H64:I64"/>
    <mergeCell ref="G52:I52"/>
    <mergeCell ref="G50:S50"/>
    <mergeCell ref="L46:M46"/>
    <mergeCell ref="H63:I63"/>
    <mergeCell ref="G49:I49"/>
    <mergeCell ref="O77:Q77"/>
    <mergeCell ref="P46:Q46"/>
    <mergeCell ref="N112:O112"/>
    <mergeCell ref="Q93:R93"/>
    <mergeCell ref="I93:J93"/>
    <mergeCell ref="P99:R99"/>
    <mergeCell ref="P98:Q98"/>
    <mergeCell ref="K93:N93"/>
    <mergeCell ref="Q94:R94"/>
    <mergeCell ref="T98:U98"/>
    <mergeCell ref="S94:V94"/>
    <mergeCell ref="R46:S46"/>
    <mergeCell ref="T45:U45"/>
    <mergeCell ref="K60:R60"/>
    <mergeCell ref="K72:N72"/>
    <mergeCell ref="O85:Q85"/>
    <mergeCell ref="K81:U81"/>
    <mergeCell ref="BB51:BD51"/>
    <mergeCell ref="BA43:BD43"/>
    <mergeCell ref="BB46:BD46"/>
    <mergeCell ref="BB47:BD47"/>
    <mergeCell ref="BB49:BD49"/>
    <mergeCell ref="BB48:BD48"/>
    <mergeCell ref="BB44:BD44"/>
    <mergeCell ref="BB45:BD45"/>
    <mergeCell ref="N45:O45"/>
    <mergeCell ref="H14:I14"/>
    <mergeCell ref="H18:I18"/>
    <mergeCell ref="K14:M14"/>
    <mergeCell ref="K18:M18"/>
    <mergeCell ref="BB50:BD50"/>
    <mergeCell ref="AB4:AC4"/>
    <mergeCell ref="AD4:AE4"/>
    <mergeCell ref="AA2:AA3"/>
    <mergeCell ref="B3:C3"/>
    <mergeCell ref="G3:L3"/>
    <mergeCell ref="O3:R3"/>
    <mergeCell ref="B10:B11"/>
    <mergeCell ref="C8:E9"/>
    <mergeCell ref="O4:R4"/>
    <mergeCell ref="C10:D10"/>
    <mergeCell ref="C11:D11"/>
    <mergeCell ref="G5:M5"/>
    <mergeCell ref="T1:V1"/>
    <mergeCell ref="T2:V2"/>
    <mergeCell ref="H1:L1"/>
    <mergeCell ref="AB6:AC6"/>
    <mergeCell ref="AA1:AM1"/>
    <mergeCell ref="AL2:AM2"/>
    <mergeCell ref="AJ2:AK3"/>
    <mergeCell ref="AH2:AI3"/>
    <mergeCell ref="AF2:AG3"/>
    <mergeCell ref="AD2:AE3"/>
    <mergeCell ref="M33:N33"/>
    <mergeCell ref="O27:T27"/>
    <mergeCell ref="O36:T36"/>
    <mergeCell ref="H4:M4"/>
    <mergeCell ref="N18:S18"/>
    <mergeCell ref="N15:Q15"/>
    <mergeCell ref="N14:Q14"/>
    <mergeCell ref="K12:Q12"/>
    <mergeCell ref="K13:T13"/>
    <mergeCell ref="S12:T12"/>
    <mergeCell ref="H21:S21"/>
    <mergeCell ref="J30:N30"/>
    <mergeCell ref="K31:N31"/>
    <mergeCell ref="O23:T23"/>
    <mergeCell ref="J29:N29"/>
    <mergeCell ref="H24:I24"/>
    <mergeCell ref="W1:Y1"/>
    <mergeCell ref="AB2:AC3"/>
    <mergeCell ref="AF4:AG4"/>
    <mergeCell ref="H19:M19"/>
    <mergeCell ref="H13:I13"/>
    <mergeCell ref="G10:J10"/>
    <mergeCell ref="AD6:AE6"/>
    <mergeCell ref="AB5:AC5"/>
    <mergeCell ref="H12:I12"/>
    <mergeCell ref="N19:S19"/>
    <mergeCell ref="G45:I45"/>
    <mergeCell ref="J45:K45"/>
    <mergeCell ref="G41:I41"/>
    <mergeCell ref="K41:U41"/>
    <mergeCell ref="K42:U42"/>
    <mergeCell ref="L45:M45"/>
    <mergeCell ref="G44:I44"/>
    <mergeCell ref="J44:K44"/>
    <mergeCell ref="P45:Q45"/>
    <mergeCell ref="T43:U43"/>
    <mergeCell ref="K56:M56"/>
    <mergeCell ref="B141:E144"/>
    <mergeCell ref="C133:D133"/>
    <mergeCell ref="B132:B133"/>
    <mergeCell ref="C132:D132"/>
    <mergeCell ref="C115:D115"/>
    <mergeCell ref="H108:K108"/>
    <mergeCell ref="J99:N99"/>
    <mergeCell ref="J102:K102"/>
    <mergeCell ref="N114:O114"/>
    <mergeCell ref="AA115:AM115"/>
    <mergeCell ref="G116:G128"/>
    <mergeCell ref="H121:I121"/>
    <mergeCell ref="T128:V128"/>
    <mergeCell ref="H122:I122"/>
    <mergeCell ref="N115:O115"/>
    <mergeCell ref="H120:I120"/>
    <mergeCell ref="H125:I125"/>
    <mergeCell ref="H119:K119"/>
    <mergeCell ref="H115:I115"/>
    <mergeCell ref="AA133:AM133"/>
    <mergeCell ref="B129:F130"/>
    <mergeCell ref="H130:O130"/>
    <mergeCell ref="T127:V127"/>
    <mergeCell ref="Q128:S128"/>
    <mergeCell ref="T132:T139"/>
    <mergeCell ref="T129:V129"/>
    <mergeCell ref="T130:V130"/>
    <mergeCell ref="B114:B115"/>
    <mergeCell ref="C114:D114"/>
    <mergeCell ref="G94:G113"/>
    <mergeCell ref="H97:J97"/>
    <mergeCell ref="H109:I110"/>
    <mergeCell ref="I94:J94"/>
    <mergeCell ref="H114:I114"/>
    <mergeCell ref="J109:J110"/>
    <mergeCell ref="H111:I111"/>
    <mergeCell ref="H112:I112"/>
    <mergeCell ref="H68:I68"/>
    <mergeCell ref="I73:J73"/>
    <mergeCell ref="G79:I79"/>
    <mergeCell ref="B92:B93"/>
    <mergeCell ref="G83:I83"/>
    <mergeCell ref="G84:I84"/>
    <mergeCell ref="C93:D93"/>
    <mergeCell ref="C92:D92"/>
    <mergeCell ref="B82:E84"/>
    <mergeCell ref="G81:I81"/>
    <mergeCell ref="H20:S20"/>
    <mergeCell ref="R45:S45"/>
    <mergeCell ref="R43:S43"/>
    <mergeCell ref="C81:E81"/>
    <mergeCell ref="G57:I57"/>
    <mergeCell ref="C80:E80"/>
    <mergeCell ref="G80:I80"/>
    <mergeCell ref="H62:I62"/>
    <mergeCell ref="G60:I60"/>
    <mergeCell ref="G67:I67"/>
    <mergeCell ref="H23:I23"/>
    <mergeCell ref="J23:L23"/>
    <mergeCell ref="J24:L24"/>
    <mergeCell ref="T140:T144"/>
    <mergeCell ref="G59:I59"/>
    <mergeCell ref="K58:R58"/>
    <mergeCell ref="K59:R59"/>
    <mergeCell ref="S72:V72"/>
    <mergeCell ref="S68:V68"/>
    <mergeCell ref="G58:I58"/>
    <mergeCell ref="W235:Y235"/>
    <mergeCell ref="W71:Y71"/>
    <mergeCell ref="Q129:S129"/>
    <mergeCell ref="Q130:S130"/>
    <mergeCell ref="S90:V90"/>
    <mergeCell ref="S91:V91"/>
    <mergeCell ref="K80:U80"/>
    <mergeCell ref="S73:V73"/>
    <mergeCell ref="J125:R126"/>
    <mergeCell ref="N113:O113"/>
    <mergeCell ref="K73:N73"/>
    <mergeCell ref="K69:N69"/>
    <mergeCell ref="K120:R121"/>
    <mergeCell ref="J98:N98"/>
    <mergeCell ref="G88:J88"/>
    <mergeCell ref="O84:Q84"/>
    <mergeCell ref="G85:I85"/>
    <mergeCell ref="G82:I82"/>
    <mergeCell ref="I72:J72"/>
    <mergeCell ref="H116:I116"/>
    <mergeCell ref="K61:N61"/>
    <mergeCell ref="K62:N62"/>
    <mergeCell ref="K71:N71"/>
    <mergeCell ref="K70:N70"/>
    <mergeCell ref="K68:N68"/>
    <mergeCell ref="AA93:AM93"/>
    <mergeCell ref="S71:V71"/>
    <mergeCell ref="S93:V93"/>
    <mergeCell ref="S92:V92"/>
    <mergeCell ref="R77:T77"/>
    <mergeCell ref="K82:U82"/>
    <mergeCell ref="G77:M77"/>
    <mergeCell ref="H89:I89"/>
    <mergeCell ref="S89:V89"/>
    <mergeCell ref="K88:P88"/>
    <mergeCell ref="BA10:BC10"/>
    <mergeCell ref="BA8:BC9"/>
    <mergeCell ref="AH6:AI6"/>
    <mergeCell ref="AL7:AM7"/>
    <mergeCell ref="AH7:AI7"/>
    <mergeCell ref="AA10:AM10"/>
    <mergeCell ref="AD7:AE7"/>
    <mergeCell ref="AB7:AC7"/>
    <mergeCell ref="AJ6:AK6"/>
    <mergeCell ref="AJ7:AK7"/>
    <mergeCell ref="AN8:AN9"/>
    <mergeCell ref="AF6:AG6"/>
    <mergeCell ref="AF7:AG7"/>
    <mergeCell ref="AH8:AM8"/>
    <mergeCell ref="AN4:BC7"/>
    <mergeCell ref="AD5:AE5"/>
    <mergeCell ref="AF5:AG5"/>
    <mergeCell ref="AJ4:AK4"/>
    <mergeCell ref="AH4:AI4"/>
    <mergeCell ref="AJ5:AK5"/>
    <mergeCell ref="AH5:AI5"/>
    <mergeCell ref="G42:I42"/>
    <mergeCell ref="N44:O44"/>
    <mergeCell ref="W41:Y41"/>
    <mergeCell ref="G40:U40"/>
    <mergeCell ref="L43:M43"/>
    <mergeCell ref="P43:Q43"/>
    <mergeCell ref="T44:U44"/>
    <mergeCell ref="R44:S44"/>
    <mergeCell ref="G43:I43"/>
    <mergeCell ref="J43:K43"/>
    <mergeCell ref="Z43:Z44"/>
    <mergeCell ref="P44:Q44"/>
    <mergeCell ref="K109:K110"/>
    <mergeCell ref="Q114:R114"/>
    <mergeCell ref="N111:O111"/>
    <mergeCell ref="N109:R110"/>
    <mergeCell ref="K79:U79"/>
    <mergeCell ref="K91:N91"/>
    <mergeCell ref="K89:M89"/>
    <mergeCell ref="P89:Q89"/>
    <mergeCell ref="N16:Q16"/>
    <mergeCell ref="N43:O43"/>
    <mergeCell ref="K32:N32"/>
    <mergeCell ref="J67:N67"/>
    <mergeCell ref="G39:J39"/>
    <mergeCell ref="L44:M44"/>
    <mergeCell ref="K57:R57"/>
    <mergeCell ref="K63:N63"/>
    <mergeCell ref="K52:U53"/>
    <mergeCell ref="J46:K46"/>
    <mergeCell ref="Q116:R116"/>
    <mergeCell ref="N116:O116"/>
    <mergeCell ref="J100:N100"/>
    <mergeCell ref="N108:P108"/>
    <mergeCell ref="Q115:R115"/>
    <mergeCell ref="Q111:R113"/>
    <mergeCell ref="G76:J76"/>
    <mergeCell ref="K78:U78"/>
    <mergeCell ref="G78:I78"/>
    <mergeCell ref="T46:U46"/>
    <mergeCell ref="N46:O46"/>
    <mergeCell ref="K51:U51"/>
    <mergeCell ref="S69:V69"/>
    <mergeCell ref="K64:N64"/>
    <mergeCell ref="P68:Q68"/>
    <mergeCell ref="S70:V70"/>
    <mergeCell ref="O92:Q92"/>
    <mergeCell ref="O90:Q90"/>
    <mergeCell ref="O91:Q91"/>
    <mergeCell ref="K90:N90"/>
    <mergeCell ref="K92:N92"/>
  </mergeCells>
  <conditionalFormatting sqref="J52">
    <cfRule type="cellIs" priority="1" dxfId="8" operator="greaterThan" stopIfTrue="1">
      <formula>J60*0.3/4.5</formula>
    </cfRule>
    <cfRule type="cellIs" priority="2" dxfId="7" operator="between" stopIfTrue="1">
      <formula>0</formula>
      <formula>J60*0.3/4.5</formula>
    </cfRule>
    <cfRule type="cellIs" priority="3" dxfId="6" operator="lessThanOrEqual" stopIfTrue="1">
      <formula>0</formula>
    </cfRule>
  </conditionalFormatting>
  <conditionalFormatting sqref="J51">
    <cfRule type="cellIs" priority="4" dxfId="8" operator="lessThan" stopIfTrue="1">
      <formula>J60*4.2/4.5</formula>
    </cfRule>
    <cfRule type="cellIs" priority="5" dxfId="7" operator="between" stopIfTrue="1">
      <formula>J60*4.2/4.5</formula>
      <formula>J60</formula>
    </cfRule>
    <cfRule type="cellIs" priority="6" dxfId="6" operator="greaterThan" stopIfTrue="1">
      <formula>J60</formula>
    </cfRule>
  </conditionalFormatting>
  <conditionalFormatting sqref="J81">
    <cfRule type="cellIs" priority="7" dxfId="4" operator="greaterThan" stopIfTrue="1">
      <formula>4</formula>
    </cfRule>
  </conditionalFormatting>
  <conditionalFormatting sqref="J82">
    <cfRule type="cellIs" priority="8" dxfId="4" operator="greaterThan" stopIfTrue="1">
      <formula>51.02865</formula>
    </cfRule>
  </conditionalFormatting>
  <conditionalFormatting sqref="J41:J42">
    <cfRule type="cellIs" priority="9" dxfId="3" operator="equal" stopIfTrue="1">
      <formula>0</formula>
    </cfRule>
    <cfRule type="cellIs" priority="10" dxfId="2" operator="greaterThan" stopIfTrue="1">
      <formula>0</formula>
    </cfRule>
  </conditionalFormatting>
  <hyperlinks>
    <hyperlink ref="B142" location="'Wine Calc'!J12" display="'Wine Calc'!J12"/>
    <hyperlink ref="B143" location="'Wine Calc'!J12" display="'Wine Calc'!J12"/>
    <hyperlink ref="B144" location="'Wine Calc'!J12" display="'Wine Calc'!J12"/>
    <hyperlink ref="C141" location="'Wine Calc'!J12" display="'Wine Calc'!J12"/>
    <hyperlink ref="C142" location="'Wine Calc'!J12" display="'Wine Calc'!J12"/>
    <hyperlink ref="C143" location="'Wine Calc'!J12" display="'Wine Calc'!J12"/>
    <hyperlink ref="C144" location="'Wine Calc'!J12" display="'Wine Calc'!J12"/>
    <hyperlink ref="D92" location="'Wine Calc'!AA91" display="TINS"/>
    <hyperlink ref="D114" location="'Wine Calc'!AA113" display="JUICES"/>
    <hyperlink ref="D132" location="'Wine Calc'!AA130" display="VEGETABLES"/>
    <hyperlink ref="D141" location="'Wine Calc'!J12" display="'Wine Calc'!J12"/>
    <hyperlink ref="D142" location="'Wine Calc'!J12" display="'Wine Calc'!J12"/>
    <hyperlink ref="D143" location="'Wine Calc'!J12" display="'Wine Calc'!J12"/>
    <hyperlink ref="D144" location="'Wine Calc'!J12" display="'Wine Calc'!J12"/>
    <hyperlink ref="E7" location="'Wine Calc'!K60" display="'Wine Calc'!K60"/>
    <hyperlink ref="E141" location="'Wine Calc'!J12" display="'Wine Calc'!J12"/>
    <hyperlink ref="E142" location="'Wine Calc'!J12" display="'Wine Calc'!J12"/>
    <hyperlink ref="E143" location="'Wine Calc'!J12" display="'Wine Calc'!J12"/>
    <hyperlink ref="E144" location="'Wine Calc'!J12" display="'Wine Calc'!J12"/>
    <hyperlink ref="G4" location="'Wine Calc'!AA4" display="'Wine Calc'!AA4"/>
    <hyperlink ref="G6" location="'Wine Calc'!AA6" display="'Wine Calc'!AA6"/>
    <hyperlink ref="G7" location="'Wine Calc'!AA7" display="'Wine Calc'!AA7"/>
    <hyperlink ref="H5" location="'Wine Calc'!AA5" display="'Wine Calc'!AA5"/>
    <hyperlink ref="I5" location="'Wine Calc'!AA5" display="'Wine Calc'!AA5"/>
    <hyperlink ref="J5" location="'Wine Calc'!AA5" display="'Wine Calc'!AA5"/>
    <hyperlink ref="J56" location="'Wine Calc'!D7" display="'Wine Calc'!D7"/>
    <hyperlink ref="K5" location="'Wine Calc'!AA5" display="'Wine Calc'!AA5"/>
    <hyperlink ref="L5" location="'Wine Calc'!AA5" display="'Wine Calc'!AA5"/>
    <hyperlink ref="AC234" location="'Extract Calc'!A1" display="(For details, see the &quot;Extract Calc.&quot;)"/>
    <hyperlink ref="AG236" location="'Beer Data Sheet'!P8" display="See &quot;Beer Data Sheet&quot; cells P8 etc."/>
    <hyperlink ref="AG237" location="'Beer Data Sheet'!P8" display="See &quot;Beer Data Sheet&quot; cells P8 etc."/>
    <hyperlink ref="A141" location="'Wine Calc'!J12" display="'Wine Calc'!J12"/>
    <hyperlink ref="A142" location="'Wine Calc'!J12" display="'Wine Calc'!J12"/>
    <hyperlink ref="A143" location="'Wine Calc'!J12" display="'Wine Calc'!J12"/>
    <hyperlink ref="A144" location="'Wine Calc'!J12" display="'Wine Calc'!J12"/>
    <hyperlink ref="I56" location="'Wine Calc'!D7" display="'Wine Calc'!D7"/>
    <hyperlink ref="N77" location="'Wine Calc'!J40" display="Ensure cell J90 is clear!"/>
    <hyperlink ref="N91" location="'Wine Calc'!J40" display="Ensure cell J90 is clear!"/>
    <hyperlink ref="O60" location="'Wine Calc'!S48" display="When adding water (see cell S48) to a recipe, always err on the side caution as you can add more later if required. The converse is rather more difficult!"/>
    <hyperlink ref="O61" location="'Wine Calc'!S48" display="When adding water (see cell S48) to a recipe, always err on the side caution as you can add more later if required. The converse is rather more difficult!"/>
    <hyperlink ref="S2" r:id="rId1" display="www.PetesPintPot.co.uk"/>
    <hyperlink ref="I4" location="'Wine Calc'!G68" display="Priming Ciders &amp; Sparkling Wines"/>
    <hyperlink ref="M5" location="'Wine Calc'!AA5" display="'Wine Calc'!AA5"/>
    <hyperlink ref="U2" r:id="rId2" display="www.PetesPintPot.co.uk"/>
    <hyperlink ref="AD234" location="'Extract Calc'!A1" display="(For details, see the &quot;Extract Calc.&quot;)"/>
    <hyperlink ref="H4" location="'Wine Calc'!G68" display="Priming Ciders &amp; Sparkling Wines"/>
    <hyperlink ref="B141" location="'Wine Calc'!J12" display="'Wine Calc'!J12"/>
    <hyperlink ref="C10" location="'Wine Calc'!AA9" display="FRUIT"/>
    <hyperlink ref="C92" location="'Wine Calc'!AA91" display="TINS"/>
    <hyperlink ref="C114" location="'Wine Calc'!AA113" display="JUICES"/>
    <hyperlink ref="C132" location="'Wine Calc'!AA130" display="VEGETABLES"/>
    <hyperlink ref="G5" location="'Wine Calc'!AA5" display="'Wine Calc'!AA5"/>
    <hyperlink ref="G50" location="'Wine Calc'!B139" display="This assumes that the any vegetables (cells C132:C138) are catered for as per cell B139. Use the above figures as a VERY APPROX. GUIDE only."/>
    <hyperlink ref="T2" r:id="rId3" display="www.PetesPintPot.co.uk"/>
    <hyperlink ref="C132:D132" location="'Wine Calc'!AA133" display="VEGETABLES"/>
    <hyperlink ref="H4:M4" location="'Wine Calc'!G76" display="'Wine Calc'!G76"/>
    <hyperlink ref="C92:D92" location="'Wine Calc'!AA93" display="TINS"/>
    <hyperlink ref="C114:D114" location="'Wine Calc'!AA115" display="JUICES"/>
    <hyperlink ref="P91" location="'Wine Calc'!J40" display="Ensure cell J90 is clear!"/>
    <hyperlink ref="O91" location="'Wine Calc'!J40" display="Ensure cell J90 is clear!"/>
    <hyperlink ref="O91:Q91" location="'Wine Calc'!J41" display="Ensure cell J41 is clear!"/>
    <hyperlink ref="S128" location="'Wine Calc'!G68" display="Priming Ciders &amp; Sparkling Wines"/>
    <hyperlink ref="S129" location="'Wine Calc'!AA5" display="'Wine Calc'!AA5"/>
    <hyperlink ref="S130" r:id="rId4" display="www.signaturewinesofohio.com"/>
    <hyperlink ref="U129" location="'Wine Calc'!AA91" display="TINS"/>
    <hyperlink ref="T128" location="'Wine Calc'!J40" display="Ensure cell J90 is clear!"/>
    <hyperlink ref="T129" location="'Wine Calc'!J40" display="Ensure cell J90 is clear!"/>
    <hyperlink ref="T130" location="'Wine Calc'!J41" display="Ensure cell J41 is clear!"/>
    <hyperlink ref="T132" r:id="rId5" display="www.signaturewinesofohio.com"/>
    <hyperlink ref="G50:S50" location="'Wine Calc'!B141" display="This assumes that the any vegetables (cells B141:B144) are catered for as per cell J12. Use the figures below as a VERY APPROX. GUIDE only."/>
    <hyperlink ref="P84" location="'Wine Calc'!J40" display="Ensure cell J90 is clear!"/>
    <hyperlink ref="O84" location="'Wine Calc'!J40" display="Ensure cell J90 is clear!"/>
    <hyperlink ref="O84:Q84" location="'Wine Calc'!J41" display="Ensure cell J41 is clear!"/>
    <hyperlink ref="B141:E144" location="'Wine Calc'!J12" display="'Wine Calc'!J12"/>
    <hyperlink ref="C10:D10" location="'Wine Calc'!AA10" display="FRUIT"/>
    <hyperlink ref="B10" location="'Wine Calc'!AA9" display="FRUIT"/>
    <hyperlink ref="B92" location="'Wine Calc'!AA91" display="TINS"/>
    <hyperlink ref="B114" location="'Wine Calc'!AA113" display="JUICES"/>
    <hyperlink ref="B132" location="'Wine Calc'!AA130" display="VEGETABLES"/>
    <hyperlink ref="B132:C132" location="'Wine Calc'!AB133" display="VEGETABLES"/>
    <hyperlink ref="B92:C92" location="'Wine Calc'!AB93" display="TINS"/>
    <hyperlink ref="B114:C114" location="'Wine Calc'!AB115" display="JUICES"/>
    <hyperlink ref="A141:D144" location="'Wine Calc'!J12" display="'Wine Calc'!J12"/>
    <hyperlink ref="B10:C10" location="'Wine Calc'!AB10" display="FRUIT"/>
    <hyperlink ref="E4" location="'Wine Calc'!AB4" display=" ALCOHOL "/>
    <hyperlink ref="E5" location="'Wine Calc'!AB5" display=" ACIDITY "/>
    <hyperlink ref="E6" location="'Wine Calc'!AB6" display=" TANNIN "/>
    <hyperlink ref="S3" r:id="rId6" display="www.PetesPintPot.co.uk"/>
    <hyperlink ref="U3" r:id="rId7" display="www.PetesPintPot.co.uk"/>
    <hyperlink ref="T3" r:id="rId8" display="www.PetesPintPot.co.uk"/>
  </hyperlinks>
  <printOptions gridLines="1" horizontalCentered="1" verticalCentered="1"/>
  <pageMargins left="0.511805555555556" right="0.511805555555556" top="0.354166666666667" bottom="0.511805555555556" header="0.314583333333333" footer="0.314583333333333"/>
  <pageSetup fitToHeight="2" horizontalDpi="30066" verticalDpi="30066" orientation="portrait" paperSize="9" scale="41" r:id="rId10"/>
  <rowBreaks count="1" manualBreakCount="1">
    <brk id="130" max="21" man="1"/>
  </rowBreaks>
  <drawing r:id="rId9"/>
</worksheet>
</file>

<file path=xl/worksheets/sheet4.xml><?xml version="1.0" encoding="utf-8"?>
<worksheet xmlns="http://schemas.openxmlformats.org/spreadsheetml/2006/main" xmlns:r="http://schemas.openxmlformats.org/officeDocument/2006/relationships">
  <sheetPr>
    <tabColor indexed="46"/>
    <pageSetUpPr fitToPage="1"/>
  </sheetPr>
  <dimension ref="A1:I88"/>
  <sheetViews>
    <sheetView zoomScaleSheetLayoutView="100" zoomScalePageLayoutView="0" workbookViewId="0" topLeftCell="A1">
      <selection activeCell="A1" sqref="A1:H1"/>
    </sheetView>
  </sheetViews>
  <sheetFormatPr defaultColWidth="9.140625" defaultRowHeight="15"/>
  <cols>
    <col min="1" max="1" width="41.140625" style="844" customWidth="1"/>
    <col min="2" max="4" width="10.8515625" style="844" bestFit="1" customWidth="1"/>
    <col min="5" max="5" width="9.7109375" style="844" bestFit="1" customWidth="1"/>
    <col min="6" max="8" width="10.8515625" style="844" bestFit="1" customWidth="1"/>
    <col min="9" max="9" width="2.7109375" style="844" customWidth="1"/>
    <col min="10" max="16384" width="8.8515625" style="844" customWidth="1"/>
  </cols>
  <sheetData>
    <row r="1" spans="1:9" ht="21">
      <c r="A1" s="1353" t="s">
        <v>788</v>
      </c>
      <c r="B1" s="1353"/>
      <c r="C1" s="1353"/>
      <c r="D1" s="1353"/>
      <c r="E1" s="1353"/>
      <c r="F1" s="1353"/>
      <c r="G1" s="1353"/>
      <c r="H1" s="1353"/>
      <c r="I1" s="854"/>
    </row>
    <row r="2" spans="1:9" ht="13.5">
      <c r="A2" s="864" t="s">
        <v>614</v>
      </c>
      <c r="B2" s="865"/>
      <c r="C2" s="865"/>
      <c r="D2" s="865"/>
      <c r="E2" s="865"/>
      <c r="F2" s="865"/>
      <c r="G2" s="865"/>
      <c r="H2" s="866" t="s">
        <v>613</v>
      </c>
      <c r="I2" s="854"/>
    </row>
    <row r="3" spans="1:9" ht="12.75">
      <c r="A3" s="845"/>
      <c r="B3" s="846"/>
      <c r="C3" s="846"/>
      <c r="D3" s="846"/>
      <c r="E3" s="846"/>
      <c r="F3" s="846"/>
      <c r="G3" s="846"/>
      <c r="H3" s="847"/>
      <c r="I3" s="854"/>
    </row>
    <row r="4" spans="1:9" ht="12.75">
      <c r="A4" s="848" t="s">
        <v>733</v>
      </c>
      <c r="B4" s="848"/>
      <c r="C4" s="848"/>
      <c r="D4" s="848"/>
      <c r="E4" s="848"/>
      <c r="F4" s="848"/>
      <c r="G4" s="848"/>
      <c r="H4" s="848"/>
      <c r="I4" s="854"/>
    </row>
    <row r="5" spans="1:9" ht="26.25">
      <c r="A5" s="849" t="s">
        <v>734</v>
      </c>
      <c r="B5" s="850" t="s">
        <v>735</v>
      </c>
      <c r="C5" s="850" t="s">
        <v>736</v>
      </c>
      <c r="D5" s="850" t="s">
        <v>737</v>
      </c>
      <c r="E5" s="850" t="s">
        <v>738</v>
      </c>
      <c r="F5" s="850" t="s">
        <v>739</v>
      </c>
      <c r="G5" s="850" t="s">
        <v>740</v>
      </c>
      <c r="H5" s="850" t="s">
        <v>741</v>
      </c>
      <c r="I5" s="854"/>
    </row>
    <row r="6" spans="1:9" ht="12.75">
      <c r="A6" s="851" t="s">
        <v>742</v>
      </c>
      <c r="B6" s="852" t="s">
        <v>743</v>
      </c>
      <c r="C6" s="852" t="s">
        <v>744</v>
      </c>
      <c r="D6" s="852" t="s">
        <v>745</v>
      </c>
      <c r="E6" s="852" t="s">
        <v>746</v>
      </c>
      <c r="F6" s="852" t="s">
        <v>747</v>
      </c>
      <c r="G6" s="852" t="s">
        <v>748</v>
      </c>
      <c r="H6" s="852" t="s">
        <v>749</v>
      </c>
      <c r="I6" s="854"/>
    </row>
    <row r="7" spans="1:9" ht="12.75">
      <c r="A7" s="851" t="s">
        <v>750</v>
      </c>
      <c r="B7" s="852" t="s">
        <v>751</v>
      </c>
      <c r="C7" s="852" t="s">
        <v>752</v>
      </c>
      <c r="D7" s="852" t="s">
        <v>753</v>
      </c>
      <c r="E7" s="852" t="s">
        <v>754</v>
      </c>
      <c r="F7" s="852" t="s">
        <v>755</v>
      </c>
      <c r="G7" s="852" t="s">
        <v>756</v>
      </c>
      <c r="H7" s="852" t="s">
        <v>757</v>
      </c>
      <c r="I7" s="854"/>
    </row>
    <row r="8" spans="1:9" ht="12.75">
      <c r="A8" s="853"/>
      <c r="B8" s="854"/>
      <c r="C8" s="854"/>
      <c r="D8" s="854"/>
      <c r="E8" s="854"/>
      <c r="F8" s="854"/>
      <c r="G8" s="854"/>
      <c r="H8" s="854"/>
      <c r="I8" s="854"/>
    </row>
    <row r="9" spans="1:9" ht="12.75">
      <c r="A9" s="890" t="s">
        <v>758</v>
      </c>
      <c r="B9" s="854"/>
      <c r="C9" s="854"/>
      <c r="D9" s="854"/>
      <c r="E9" s="854"/>
      <c r="F9" s="854"/>
      <c r="G9" s="854"/>
      <c r="H9" s="854"/>
      <c r="I9" s="854"/>
    </row>
    <row r="10" spans="1:9" ht="12.75">
      <c r="A10" s="855" t="s">
        <v>759</v>
      </c>
      <c r="B10" s="854"/>
      <c r="C10" s="854"/>
      <c r="D10" s="854"/>
      <c r="E10" s="854"/>
      <c r="F10" s="854"/>
      <c r="G10" s="854"/>
      <c r="H10" s="854"/>
      <c r="I10" s="854"/>
    </row>
    <row r="11" spans="1:9" ht="12.75">
      <c r="A11" s="856"/>
      <c r="B11" s="854"/>
      <c r="C11" s="854"/>
      <c r="D11" s="854"/>
      <c r="E11" s="854"/>
      <c r="F11" s="854"/>
      <c r="G11" s="854"/>
      <c r="H11" s="854"/>
      <c r="I11" s="854"/>
    </row>
    <row r="12" spans="1:9" ht="12.75">
      <c r="A12" s="853" t="s">
        <v>760</v>
      </c>
      <c r="B12" s="854"/>
      <c r="C12" s="854"/>
      <c r="D12" s="854"/>
      <c r="E12" s="854"/>
      <c r="F12" s="854"/>
      <c r="G12" s="854"/>
      <c r="H12" s="854"/>
      <c r="I12" s="854"/>
    </row>
    <row r="13" spans="1:9" ht="12.75">
      <c r="A13" s="854" t="s">
        <v>761</v>
      </c>
      <c r="B13" s="891">
        <v>4700</v>
      </c>
      <c r="C13" s="854" t="s">
        <v>76</v>
      </c>
      <c r="D13" s="854"/>
      <c r="E13" s="854"/>
      <c r="F13" s="854"/>
      <c r="G13" s="854"/>
      <c r="H13" s="854"/>
      <c r="I13" s="854"/>
    </row>
    <row r="14" spans="1:9" ht="12.75">
      <c r="A14" s="854" t="s">
        <v>762</v>
      </c>
      <c r="B14" s="891">
        <v>5</v>
      </c>
      <c r="C14" s="854" t="s">
        <v>76</v>
      </c>
      <c r="D14" s="854"/>
      <c r="E14" s="854"/>
      <c r="F14" s="854"/>
      <c r="G14" s="854"/>
      <c r="H14" s="854"/>
      <c r="I14" s="854"/>
    </row>
    <row r="15" spans="1:9" ht="12.75">
      <c r="A15" s="854" t="s">
        <v>763</v>
      </c>
      <c r="B15" s="891">
        <v>5.35</v>
      </c>
      <c r="C15" s="854" t="s">
        <v>76</v>
      </c>
      <c r="D15" s="854"/>
      <c r="E15" s="854"/>
      <c r="F15" s="854"/>
      <c r="G15" s="854"/>
      <c r="H15" s="854"/>
      <c r="I15" s="854"/>
    </row>
    <row r="16" spans="1:9" ht="12.75">
      <c r="A16" s="854" t="s">
        <v>764</v>
      </c>
      <c r="B16" s="891">
        <v>0.1</v>
      </c>
      <c r="C16" s="854" t="s">
        <v>396</v>
      </c>
      <c r="D16" s="854"/>
      <c r="E16" s="854"/>
      <c r="F16" s="854"/>
      <c r="G16" s="854"/>
      <c r="H16" s="854"/>
      <c r="I16" s="854"/>
    </row>
    <row r="17" spans="1:9" ht="12.75">
      <c r="A17" s="854" t="s">
        <v>765</v>
      </c>
      <c r="B17" s="891">
        <v>0.7</v>
      </c>
      <c r="C17" s="854" t="s">
        <v>134</v>
      </c>
      <c r="D17" s="854"/>
      <c r="E17" s="854"/>
      <c r="F17" s="854"/>
      <c r="G17" s="854"/>
      <c r="H17" s="854"/>
      <c r="I17" s="854"/>
    </row>
    <row r="18" spans="1:9" ht="12.75" hidden="1">
      <c r="A18" s="854" t="s">
        <v>766</v>
      </c>
      <c r="B18" s="871">
        <f>(B15/1000)*B16</f>
        <v>0.000535</v>
      </c>
      <c r="C18" s="854" t="s">
        <v>767</v>
      </c>
      <c r="D18" s="854"/>
      <c r="E18" s="854"/>
      <c r="F18" s="854"/>
      <c r="G18" s="854"/>
      <c r="H18" s="854"/>
      <c r="I18" s="854"/>
    </row>
    <row r="19" spans="1:9" ht="12.75" hidden="1">
      <c r="A19" s="854" t="s">
        <v>768</v>
      </c>
      <c r="B19" s="872">
        <f>(100/B14)*B18</f>
        <v>0.0107</v>
      </c>
      <c r="C19" s="854" t="s">
        <v>767</v>
      </c>
      <c r="D19" s="854"/>
      <c r="E19" s="854"/>
      <c r="F19" s="854"/>
      <c r="G19" s="854"/>
      <c r="H19" s="854"/>
      <c r="I19" s="854"/>
    </row>
    <row r="20" spans="1:9" ht="12.75" hidden="1">
      <c r="A20" s="854" t="s">
        <v>769</v>
      </c>
      <c r="B20" s="872">
        <f>(B13/B14)*B18</f>
        <v>0.5029</v>
      </c>
      <c r="C20" s="854" t="s">
        <v>767</v>
      </c>
      <c r="D20" s="854"/>
      <c r="E20" s="854"/>
      <c r="F20" s="854"/>
      <c r="G20" s="854"/>
      <c r="H20" s="854"/>
      <c r="I20" s="854"/>
    </row>
    <row r="21" spans="1:9" ht="12.75" hidden="1">
      <c r="A21" s="854" t="s">
        <v>770</v>
      </c>
      <c r="B21" s="872">
        <f>B18/2</f>
        <v>0.0002675</v>
      </c>
      <c r="C21" s="854"/>
      <c r="D21" s="854"/>
      <c r="E21" s="854"/>
      <c r="F21" s="854"/>
      <c r="G21" s="854"/>
      <c r="H21" s="854"/>
      <c r="I21" s="854"/>
    </row>
    <row r="22" spans="1:9" ht="12.75" hidden="1">
      <c r="A22" s="854" t="s">
        <v>771</v>
      </c>
      <c r="B22" s="872">
        <f>B19/2</f>
        <v>0.00535</v>
      </c>
      <c r="C22" s="854"/>
      <c r="D22" s="854"/>
      <c r="E22" s="854"/>
      <c r="F22" s="854"/>
      <c r="G22" s="854"/>
      <c r="H22" s="854"/>
      <c r="I22" s="854"/>
    </row>
    <row r="23" spans="1:9" ht="12.75" hidden="1">
      <c r="A23" s="854" t="s">
        <v>772</v>
      </c>
      <c r="B23" s="872">
        <f>B20/2</f>
        <v>0.25145</v>
      </c>
      <c r="C23" s="854" t="s">
        <v>767</v>
      </c>
      <c r="D23" s="854"/>
      <c r="E23" s="854"/>
      <c r="F23" s="854"/>
      <c r="G23" s="854"/>
      <c r="H23" s="854"/>
      <c r="I23" s="854"/>
    </row>
    <row r="24" spans="1:9" ht="12.75">
      <c r="A24" s="854" t="s">
        <v>773</v>
      </c>
      <c r="B24" s="859">
        <f>B22*98</f>
        <v>0.5243</v>
      </c>
      <c r="C24" s="854" t="s">
        <v>134</v>
      </c>
      <c r="D24" s="854"/>
      <c r="E24" s="854"/>
      <c r="F24" s="854"/>
      <c r="G24" s="854"/>
      <c r="H24" s="854"/>
      <c r="I24" s="854"/>
    </row>
    <row r="25" spans="1:9" ht="12.75">
      <c r="A25" s="854" t="s">
        <v>774</v>
      </c>
      <c r="B25" s="859">
        <f>B22*150.1</f>
        <v>0.8030349999999999</v>
      </c>
      <c r="C25" s="854" t="s">
        <v>134</v>
      </c>
      <c r="D25" s="854"/>
      <c r="E25" s="854"/>
      <c r="F25" s="854"/>
      <c r="G25" s="854"/>
      <c r="H25" s="854"/>
      <c r="I25" s="854"/>
    </row>
    <row r="26" spans="1:9" ht="12.75" hidden="1">
      <c r="A26" s="854" t="s">
        <v>775</v>
      </c>
      <c r="B26" s="873">
        <f>B17/150.1</f>
        <v>0.004663557628247834</v>
      </c>
      <c r="C26" s="854"/>
      <c r="D26" s="854"/>
      <c r="E26" s="854"/>
      <c r="F26" s="854"/>
      <c r="G26" s="854"/>
      <c r="H26" s="854"/>
      <c r="I26" s="854"/>
    </row>
    <row r="27" spans="1:9" ht="12.75" hidden="1">
      <c r="A27" s="854" t="s">
        <v>776</v>
      </c>
      <c r="B27" s="874">
        <f>B26-B22</f>
        <v>-0.0006864423717521653</v>
      </c>
      <c r="C27" s="854" t="s">
        <v>767</v>
      </c>
      <c r="D27" s="854"/>
      <c r="E27" s="854"/>
      <c r="F27" s="854"/>
      <c r="G27" s="854"/>
      <c r="H27" s="854"/>
      <c r="I27" s="854"/>
    </row>
    <row r="28" spans="1:9" ht="12.75" hidden="1">
      <c r="A28" s="854" t="s">
        <v>777</v>
      </c>
      <c r="B28" s="874">
        <f>B22-B26</f>
        <v>0.0006864423717521653</v>
      </c>
      <c r="C28" s="854" t="s">
        <v>767</v>
      </c>
      <c r="D28" s="854"/>
      <c r="E28" s="854"/>
      <c r="F28" s="854"/>
      <c r="G28" s="854"/>
      <c r="H28" s="854"/>
      <c r="I28" s="854"/>
    </row>
    <row r="29" spans="1:9" ht="12.75">
      <c r="A29" s="854"/>
      <c r="B29" s="872"/>
      <c r="C29" s="854"/>
      <c r="D29" s="854"/>
      <c r="E29" s="854"/>
      <c r="F29" s="854"/>
      <c r="G29" s="854"/>
      <c r="H29" s="854"/>
      <c r="I29" s="854"/>
    </row>
    <row r="30" spans="1:9" ht="12.75">
      <c r="A30" s="857" t="s">
        <v>778</v>
      </c>
      <c r="B30" s="858"/>
      <c r="C30" s="854"/>
      <c r="D30" s="875"/>
      <c r="E30" s="854"/>
      <c r="F30" s="854"/>
      <c r="G30" s="854"/>
      <c r="H30" s="854"/>
      <c r="I30" s="854"/>
    </row>
    <row r="31" spans="1:9" ht="12.75">
      <c r="A31" s="854" t="s">
        <v>779</v>
      </c>
      <c r="B31" s="889" t="str">
        <f>IF((($B$27*150.1)*($B$13/100))&lt;0,"0.00",(($B$27*150.1)*($B$13/100)))</f>
        <v>0.00</v>
      </c>
      <c r="C31" s="854" t="s">
        <v>43</v>
      </c>
      <c r="D31" s="859">
        <f>B31/5</f>
        <v>0</v>
      </c>
      <c r="E31" s="1354" t="s">
        <v>784</v>
      </c>
      <c r="F31" s="1354"/>
      <c r="G31" s="854"/>
      <c r="H31" s="854"/>
      <c r="I31" s="854"/>
    </row>
    <row r="32" spans="1:9" ht="12.75">
      <c r="A32" s="854" t="s">
        <v>780</v>
      </c>
      <c r="B32" s="889" t="str">
        <f>IF((($B$27*192)*($B$13/100))&lt;0,"0.00",(($B$27*192)*($B$13/100)))</f>
        <v>0.00</v>
      </c>
      <c r="C32" s="854" t="s">
        <v>43</v>
      </c>
      <c r="D32" s="859">
        <f>B32/5</f>
        <v>0</v>
      </c>
      <c r="E32" s="1354" t="s">
        <v>784</v>
      </c>
      <c r="F32" s="1354"/>
      <c r="G32" s="854"/>
      <c r="H32" s="854"/>
      <c r="I32" s="854"/>
    </row>
    <row r="33" spans="1:9" ht="12.75">
      <c r="A33" s="854" t="s">
        <v>781</v>
      </c>
      <c r="B33" s="889" t="str">
        <f>IF((($B$27*134)*($B$13/100))&lt;0,"0.00",(($B$27*134)*($B$13/100)))</f>
        <v>0.00</v>
      </c>
      <c r="C33" s="854" t="s">
        <v>43</v>
      </c>
      <c r="D33" s="859">
        <f>B33/5</f>
        <v>0</v>
      </c>
      <c r="E33" s="1354" t="s">
        <v>784</v>
      </c>
      <c r="F33" s="1354"/>
      <c r="G33" s="854"/>
      <c r="H33" s="854"/>
      <c r="I33" s="854"/>
    </row>
    <row r="34" spans="1:9" ht="12.75">
      <c r="A34" s="854"/>
      <c r="B34" s="854"/>
      <c r="C34" s="854"/>
      <c r="D34" s="854"/>
      <c r="E34" s="863"/>
      <c r="F34" s="863"/>
      <c r="G34" s="854"/>
      <c r="H34" s="854"/>
      <c r="I34" s="854"/>
    </row>
    <row r="35" spans="1:9" ht="12.75">
      <c r="A35" s="860" t="s">
        <v>782</v>
      </c>
      <c r="B35" s="854"/>
      <c r="C35" s="854"/>
      <c r="D35" s="854"/>
      <c r="E35" s="863"/>
      <c r="F35" s="863"/>
      <c r="G35" s="854"/>
      <c r="H35" s="854"/>
      <c r="I35" s="854"/>
    </row>
    <row r="36" spans="1:9" ht="15">
      <c r="A36" s="861" t="s">
        <v>783</v>
      </c>
      <c r="B36" s="889">
        <f>IF((($B$28*100)*($B$13/100))&lt;0,"0.00",(($B$28*100)*($B$13/100)))</f>
        <v>3.226279147235177</v>
      </c>
      <c r="C36" s="854" t="s">
        <v>43</v>
      </c>
      <c r="D36" s="862">
        <f>B36/4.5</f>
        <v>0.716950921607817</v>
      </c>
      <c r="E36" s="1354" t="s">
        <v>784</v>
      </c>
      <c r="F36" s="1354"/>
      <c r="G36" s="854"/>
      <c r="H36" s="854"/>
      <c r="I36" s="854"/>
    </row>
    <row r="37" spans="1:9" ht="12.75">
      <c r="A37" s="854" t="s">
        <v>793</v>
      </c>
      <c r="B37" s="889">
        <f>IF((($B$28*84)*($B$13/100))&lt;0,"0.00",(($B$28*84)*($B$13/100)))</f>
        <v>2.7100744836775488</v>
      </c>
      <c r="C37" s="854" t="s">
        <v>43</v>
      </c>
      <c r="D37" s="862">
        <f>B37/4.5</f>
        <v>0.6022387741505664</v>
      </c>
      <c r="E37" s="1354" t="s">
        <v>784</v>
      </c>
      <c r="F37" s="1354"/>
      <c r="G37" s="854"/>
      <c r="H37" s="854"/>
      <c r="I37" s="854"/>
    </row>
    <row r="38" spans="1:9" ht="12.75">
      <c r="A38" s="854"/>
      <c r="B38" s="854"/>
      <c r="C38" s="854"/>
      <c r="D38" s="854"/>
      <c r="E38" s="854"/>
      <c r="F38" s="854"/>
      <c r="G38" s="854"/>
      <c r="H38" s="854"/>
      <c r="I38" s="854"/>
    </row>
    <row r="39" spans="1:9" ht="12.75">
      <c r="A39" s="854"/>
      <c r="B39" s="854"/>
      <c r="C39" s="854"/>
      <c r="D39" s="854"/>
      <c r="E39" s="854"/>
      <c r="F39" s="854"/>
      <c r="G39" s="854"/>
      <c r="H39" s="854"/>
      <c r="I39" s="854"/>
    </row>
    <row r="40" spans="1:9" ht="12.75">
      <c r="A40" s="854"/>
      <c r="B40" s="854"/>
      <c r="C40" s="854"/>
      <c r="D40" s="854"/>
      <c r="E40" s="854"/>
      <c r="F40" s="854"/>
      <c r="G40" s="854"/>
      <c r="H40" s="854"/>
      <c r="I40" s="854"/>
    </row>
    <row r="41" spans="1:9" ht="12.75">
      <c r="A41" s="854"/>
      <c r="B41" s="854"/>
      <c r="C41" s="854"/>
      <c r="D41" s="854"/>
      <c r="E41" s="854"/>
      <c r="F41" s="854"/>
      <c r="G41" s="854"/>
      <c r="H41" s="854"/>
      <c r="I41" s="854"/>
    </row>
    <row r="42" spans="1:9" ht="12.75">
      <c r="A42" s="854"/>
      <c r="B42" s="854"/>
      <c r="C42" s="854"/>
      <c r="D42" s="854"/>
      <c r="E42" s="854"/>
      <c r="F42" s="854"/>
      <c r="G42" s="854"/>
      <c r="H42" s="854"/>
      <c r="I42" s="854"/>
    </row>
    <row r="43" spans="1:9" ht="12.75">
      <c r="A43" s="854"/>
      <c r="B43" s="854"/>
      <c r="C43" s="854"/>
      <c r="D43" s="854"/>
      <c r="E43" s="854"/>
      <c r="F43" s="854"/>
      <c r="G43" s="854"/>
      <c r="H43" s="854"/>
      <c r="I43" s="854"/>
    </row>
    <row r="44" spans="1:9" ht="12.75">
      <c r="A44" s="854"/>
      <c r="B44" s="854"/>
      <c r="C44" s="854"/>
      <c r="D44" s="854"/>
      <c r="E44" s="854"/>
      <c r="F44" s="854"/>
      <c r="G44" s="854"/>
      <c r="H44" s="854"/>
      <c r="I44" s="854"/>
    </row>
    <row r="45" spans="1:9" ht="12.75">
      <c r="A45" s="854"/>
      <c r="B45" s="854"/>
      <c r="C45" s="854"/>
      <c r="D45" s="854"/>
      <c r="E45" s="854"/>
      <c r="F45" s="854"/>
      <c r="G45" s="854"/>
      <c r="H45" s="854"/>
      <c r="I45" s="854"/>
    </row>
    <row r="46" spans="1:9" ht="12.75">
      <c r="A46" s="854"/>
      <c r="B46" s="854"/>
      <c r="C46" s="854"/>
      <c r="D46" s="854"/>
      <c r="E46" s="854"/>
      <c r="F46" s="854"/>
      <c r="G46" s="854"/>
      <c r="H46" s="854"/>
      <c r="I46" s="854"/>
    </row>
    <row r="47" spans="1:9" ht="12.75">
      <c r="A47" s="854"/>
      <c r="B47" s="854"/>
      <c r="C47" s="854"/>
      <c r="D47" s="854"/>
      <c r="E47" s="854"/>
      <c r="F47" s="854"/>
      <c r="G47" s="854"/>
      <c r="H47" s="854"/>
      <c r="I47" s="854"/>
    </row>
    <row r="48" spans="1:9" ht="12.75">
      <c r="A48" s="854"/>
      <c r="B48" s="854"/>
      <c r="C48" s="854"/>
      <c r="D48" s="854"/>
      <c r="E48" s="854"/>
      <c r="F48" s="854"/>
      <c r="G48" s="854"/>
      <c r="H48" s="854"/>
      <c r="I48" s="854"/>
    </row>
    <row r="49" spans="1:9" ht="12.75">
      <c r="A49" s="854"/>
      <c r="B49" s="854"/>
      <c r="C49" s="854"/>
      <c r="D49" s="854"/>
      <c r="E49" s="854"/>
      <c r="F49" s="854"/>
      <c r="G49" s="854"/>
      <c r="H49" s="854"/>
      <c r="I49" s="854"/>
    </row>
    <row r="50" spans="1:9" ht="12.75">
      <c r="A50" s="854"/>
      <c r="B50" s="854"/>
      <c r="C50" s="854"/>
      <c r="D50" s="854"/>
      <c r="E50" s="854"/>
      <c r="F50" s="854"/>
      <c r="G50" s="854"/>
      <c r="H50" s="854"/>
      <c r="I50" s="854"/>
    </row>
    <row r="51" spans="1:9" ht="12.75">
      <c r="A51" s="854"/>
      <c r="B51" s="854"/>
      <c r="C51" s="854"/>
      <c r="D51" s="854"/>
      <c r="E51" s="854"/>
      <c r="F51" s="854"/>
      <c r="G51" s="854"/>
      <c r="H51" s="854"/>
      <c r="I51" s="854"/>
    </row>
    <row r="52" spans="1:9" ht="12.75">
      <c r="A52" s="854"/>
      <c r="B52" s="854"/>
      <c r="C52" s="854"/>
      <c r="D52" s="854"/>
      <c r="E52" s="854"/>
      <c r="F52" s="854"/>
      <c r="G52" s="854"/>
      <c r="H52" s="854"/>
      <c r="I52" s="854"/>
    </row>
    <row r="53" spans="1:9" ht="12.75">
      <c r="A53" s="854"/>
      <c r="B53" s="854"/>
      <c r="C53" s="854"/>
      <c r="D53" s="854"/>
      <c r="E53" s="854"/>
      <c r="F53" s="854"/>
      <c r="G53" s="854"/>
      <c r="H53" s="854"/>
      <c r="I53" s="854"/>
    </row>
    <row r="54" spans="1:9" ht="12.75">
      <c r="A54" s="854"/>
      <c r="B54" s="854"/>
      <c r="C54" s="854"/>
      <c r="D54" s="854"/>
      <c r="E54" s="854"/>
      <c r="F54" s="854"/>
      <c r="G54" s="854"/>
      <c r="H54" s="854"/>
      <c r="I54" s="854"/>
    </row>
    <row r="55" spans="1:9" ht="12.75">
      <c r="A55" s="854"/>
      <c r="B55" s="854"/>
      <c r="C55" s="854"/>
      <c r="D55" s="854"/>
      <c r="E55" s="854"/>
      <c r="F55" s="854"/>
      <c r="G55" s="854"/>
      <c r="H55" s="854"/>
      <c r="I55" s="854"/>
    </row>
    <row r="56" spans="1:9" ht="12.75">
      <c r="A56" s="867" t="s">
        <v>785</v>
      </c>
      <c r="B56" s="854"/>
      <c r="C56" s="854"/>
      <c r="D56" s="854"/>
      <c r="E56" s="854"/>
      <c r="F56" s="854"/>
      <c r="G56" s="854"/>
      <c r="H56" s="854"/>
      <c r="I56" s="854"/>
    </row>
    <row r="57" spans="1:9" ht="12.75">
      <c r="A57" s="854"/>
      <c r="B57" s="854"/>
      <c r="C57" s="854"/>
      <c r="D57" s="854"/>
      <c r="E57" s="854"/>
      <c r="F57" s="854"/>
      <c r="G57" s="854"/>
      <c r="H57" s="854"/>
      <c r="I57" s="854"/>
    </row>
    <row r="58" spans="2:9" ht="12.75">
      <c r="B58" s="854"/>
      <c r="C58" s="854"/>
      <c r="D58" s="854"/>
      <c r="E58" s="854"/>
      <c r="F58" s="854"/>
      <c r="G58" s="854"/>
      <c r="H58" s="854"/>
      <c r="I58" s="854"/>
    </row>
    <row r="59" spans="1:9" ht="12.75">
      <c r="A59" s="854"/>
      <c r="B59" s="854"/>
      <c r="C59" s="854"/>
      <c r="D59" s="854"/>
      <c r="E59" s="854"/>
      <c r="F59" s="854"/>
      <c r="G59" s="854"/>
      <c r="H59" s="854"/>
      <c r="I59" s="854"/>
    </row>
    <row r="60" spans="1:9" ht="12.75">
      <c r="A60" s="854"/>
      <c r="B60" s="854"/>
      <c r="C60" s="854"/>
      <c r="D60" s="854"/>
      <c r="E60" s="854"/>
      <c r="F60" s="854"/>
      <c r="G60" s="854"/>
      <c r="H60" s="854"/>
      <c r="I60" s="854"/>
    </row>
    <row r="61" spans="1:9" ht="12.75">
      <c r="A61" s="854"/>
      <c r="B61" s="854"/>
      <c r="C61" s="854"/>
      <c r="D61" s="854"/>
      <c r="E61" s="854"/>
      <c r="F61" s="854"/>
      <c r="G61" s="854"/>
      <c r="H61" s="854"/>
      <c r="I61" s="854"/>
    </row>
    <row r="62" spans="1:9" ht="12.75">
      <c r="A62" s="854"/>
      <c r="B62" s="854"/>
      <c r="C62" s="854"/>
      <c r="D62" s="854"/>
      <c r="E62" s="854"/>
      <c r="F62" s="854"/>
      <c r="G62" s="854"/>
      <c r="H62" s="854"/>
      <c r="I62" s="854"/>
    </row>
    <row r="63" spans="1:9" ht="12.75">
      <c r="A63" s="854"/>
      <c r="B63" s="854"/>
      <c r="C63" s="854"/>
      <c r="D63" s="854"/>
      <c r="E63" s="854"/>
      <c r="F63" s="854"/>
      <c r="G63" s="854"/>
      <c r="H63" s="854"/>
      <c r="I63" s="854"/>
    </row>
    <row r="64" spans="1:9" ht="12.75">
      <c r="A64" s="854"/>
      <c r="B64" s="854"/>
      <c r="C64" s="854"/>
      <c r="D64" s="854"/>
      <c r="E64" s="854"/>
      <c r="F64" s="854"/>
      <c r="G64" s="854"/>
      <c r="H64" s="854"/>
      <c r="I64" s="854"/>
    </row>
    <row r="65" spans="1:9" ht="12.75">
      <c r="A65" s="854"/>
      <c r="B65" s="854"/>
      <c r="C65" s="854"/>
      <c r="D65" s="854"/>
      <c r="E65" s="854"/>
      <c r="F65" s="854"/>
      <c r="G65" s="854"/>
      <c r="H65" s="854"/>
      <c r="I65" s="854"/>
    </row>
    <row r="66" spans="1:9" ht="12.75">
      <c r="A66" s="854"/>
      <c r="B66" s="854"/>
      <c r="C66" s="854"/>
      <c r="D66" s="854"/>
      <c r="E66" s="854"/>
      <c r="F66" s="854"/>
      <c r="G66" s="854"/>
      <c r="H66" s="854"/>
      <c r="I66" s="854"/>
    </row>
    <row r="67" spans="1:9" ht="12.75">
      <c r="A67" s="854"/>
      <c r="B67" s="854"/>
      <c r="C67" s="854"/>
      <c r="D67" s="854"/>
      <c r="E67" s="854"/>
      <c r="F67" s="854"/>
      <c r="G67" s="854"/>
      <c r="H67" s="854"/>
      <c r="I67" s="854"/>
    </row>
    <row r="68" spans="1:9" ht="12.75">
      <c r="A68" s="854"/>
      <c r="B68" s="854"/>
      <c r="C68" s="854"/>
      <c r="D68" s="854"/>
      <c r="E68" s="854"/>
      <c r="F68" s="854"/>
      <c r="G68" s="854"/>
      <c r="H68" s="854"/>
      <c r="I68" s="854"/>
    </row>
    <row r="69" spans="1:9" ht="12.75">
      <c r="A69" s="854"/>
      <c r="B69" s="854"/>
      <c r="C69" s="854"/>
      <c r="D69" s="854"/>
      <c r="E69" s="854"/>
      <c r="F69" s="854"/>
      <c r="G69" s="854"/>
      <c r="H69" s="854"/>
      <c r="I69" s="854"/>
    </row>
    <row r="70" spans="1:9" ht="12.75">
      <c r="A70" s="854"/>
      <c r="B70" s="854"/>
      <c r="C70" s="854"/>
      <c r="D70" s="854"/>
      <c r="E70" s="854"/>
      <c r="F70" s="854"/>
      <c r="G70" s="854"/>
      <c r="H70" s="854"/>
      <c r="I70" s="854"/>
    </row>
    <row r="71" spans="1:9" ht="12.75">
      <c r="A71" s="854"/>
      <c r="B71" s="854"/>
      <c r="C71" s="854"/>
      <c r="D71" s="854"/>
      <c r="E71" s="854"/>
      <c r="F71" s="854"/>
      <c r="G71" s="854"/>
      <c r="H71" s="854"/>
      <c r="I71" s="854"/>
    </row>
    <row r="72" spans="1:9" ht="12.75">
      <c r="A72" s="854"/>
      <c r="B72" s="854"/>
      <c r="C72" s="854"/>
      <c r="D72" s="854"/>
      <c r="E72" s="854"/>
      <c r="F72" s="854"/>
      <c r="G72" s="854"/>
      <c r="H72" s="854"/>
      <c r="I72" s="854"/>
    </row>
    <row r="73" spans="1:9" ht="12.75">
      <c r="A73" s="854"/>
      <c r="B73" s="854"/>
      <c r="C73" s="854"/>
      <c r="D73" s="854"/>
      <c r="E73" s="854"/>
      <c r="F73" s="854"/>
      <c r="G73" s="854"/>
      <c r="H73" s="854"/>
      <c r="I73" s="854"/>
    </row>
    <row r="74" spans="1:9" ht="12.75">
      <c r="A74" s="854"/>
      <c r="B74" s="854"/>
      <c r="C74" s="854"/>
      <c r="D74" s="854"/>
      <c r="E74" s="854"/>
      <c r="F74" s="854"/>
      <c r="G74" s="854"/>
      <c r="H74" s="854"/>
      <c r="I74" s="854"/>
    </row>
    <row r="75" spans="1:9" ht="12.75">
      <c r="A75" s="854"/>
      <c r="B75" s="854"/>
      <c r="C75" s="854"/>
      <c r="D75" s="854"/>
      <c r="E75" s="854"/>
      <c r="F75" s="854"/>
      <c r="G75" s="854"/>
      <c r="H75" s="854"/>
      <c r="I75" s="854"/>
    </row>
    <row r="76" spans="1:9" ht="12.75">
      <c r="A76" s="854"/>
      <c r="B76" s="854"/>
      <c r="C76" s="854"/>
      <c r="D76" s="854"/>
      <c r="E76" s="854"/>
      <c r="F76" s="854"/>
      <c r="G76" s="854"/>
      <c r="H76" s="854"/>
      <c r="I76" s="854"/>
    </row>
    <row r="77" spans="1:9" ht="12.75">
      <c r="A77" s="854"/>
      <c r="B77" s="854"/>
      <c r="C77" s="854"/>
      <c r="D77" s="854"/>
      <c r="E77" s="854"/>
      <c r="F77" s="854"/>
      <c r="G77" s="854"/>
      <c r="H77" s="854"/>
      <c r="I77" s="854"/>
    </row>
    <row r="78" spans="1:9" ht="12.75">
      <c r="A78" s="854"/>
      <c r="B78" s="854"/>
      <c r="C78" s="854"/>
      <c r="D78" s="854"/>
      <c r="E78" s="854"/>
      <c r="F78" s="854"/>
      <c r="G78" s="854"/>
      <c r="H78" s="854"/>
      <c r="I78" s="854"/>
    </row>
    <row r="79" spans="1:9" ht="12.75">
      <c r="A79" s="854"/>
      <c r="B79" s="854"/>
      <c r="C79" s="854"/>
      <c r="D79" s="854"/>
      <c r="E79" s="854"/>
      <c r="F79" s="854"/>
      <c r="G79" s="854"/>
      <c r="H79" s="854"/>
      <c r="I79" s="854"/>
    </row>
    <row r="80" spans="1:9" ht="12.75">
      <c r="A80" s="854"/>
      <c r="B80" s="854"/>
      <c r="C80" s="854"/>
      <c r="D80" s="854"/>
      <c r="E80" s="854"/>
      <c r="F80" s="854"/>
      <c r="G80" s="854"/>
      <c r="H80" s="854"/>
      <c r="I80" s="854"/>
    </row>
    <row r="81" spans="1:9" ht="12.75">
      <c r="A81" s="854"/>
      <c r="B81" s="854"/>
      <c r="C81" s="854"/>
      <c r="D81" s="854"/>
      <c r="E81" s="854"/>
      <c r="F81" s="854"/>
      <c r="G81" s="854"/>
      <c r="H81" s="854"/>
      <c r="I81" s="854"/>
    </row>
    <row r="82" spans="1:9" ht="12.75">
      <c r="A82" s="854"/>
      <c r="B82" s="854"/>
      <c r="C82" s="854"/>
      <c r="D82" s="854"/>
      <c r="E82" s="854"/>
      <c r="F82" s="854"/>
      <c r="G82" s="854"/>
      <c r="H82" s="854"/>
      <c r="I82" s="854"/>
    </row>
    <row r="83" spans="1:9" ht="12.75">
      <c r="A83" s="854"/>
      <c r="B83" s="854"/>
      <c r="C83" s="854"/>
      <c r="D83" s="854"/>
      <c r="E83" s="854"/>
      <c r="F83" s="854"/>
      <c r="G83" s="854"/>
      <c r="H83" s="854"/>
      <c r="I83" s="854"/>
    </row>
    <row r="84" spans="1:9" ht="12.75">
      <c r="A84" s="854"/>
      <c r="B84" s="854"/>
      <c r="C84" s="854"/>
      <c r="D84" s="854"/>
      <c r="E84" s="854"/>
      <c r="F84" s="854"/>
      <c r="G84" s="854"/>
      <c r="H84" s="854"/>
      <c r="I84" s="854"/>
    </row>
    <row r="85" spans="1:9" ht="12.75">
      <c r="A85" s="854"/>
      <c r="B85" s="854"/>
      <c r="C85" s="854"/>
      <c r="D85" s="854"/>
      <c r="E85" s="854"/>
      <c r="F85" s="854"/>
      <c r="G85" s="854"/>
      <c r="H85" s="854"/>
      <c r="I85" s="854"/>
    </row>
    <row r="86" spans="1:9" ht="12.75">
      <c r="A86" s="863"/>
      <c r="B86" s="863"/>
      <c r="C86" s="863"/>
      <c r="D86" s="863"/>
      <c r="E86" s="863"/>
      <c r="F86" s="863"/>
      <c r="G86" s="1352" t="s">
        <v>640</v>
      </c>
      <c r="H86" s="1352"/>
      <c r="I86" s="868"/>
    </row>
    <row r="87" spans="1:9" ht="12.75">
      <c r="A87" s="1350" t="s">
        <v>659</v>
      </c>
      <c r="B87" s="1350"/>
      <c r="C87" s="1350"/>
      <c r="D87" s="1350"/>
      <c r="E87" s="869"/>
      <c r="F87" s="869"/>
      <c r="G87" s="1351" t="s">
        <v>15</v>
      </c>
      <c r="H87" s="1351"/>
      <c r="I87" s="870"/>
    </row>
    <row r="88" spans="1:9" ht="12.75">
      <c r="A88" s="854"/>
      <c r="B88" s="854"/>
      <c r="C88" s="854"/>
      <c r="D88" s="854"/>
      <c r="E88" s="854"/>
      <c r="F88" s="854"/>
      <c r="G88" s="854"/>
      <c r="H88" s="854"/>
      <c r="I88" s="854"/>
    </row>
  </sheetData>
  <sheetProtection password="D9CB" sheet="1" objects="1" scenarios="1"/>
  <mergeCells count="9">
    <mergeCell ref="A87:D87"/>
    <mergeCell ref="G87:H87"/>
    <mergeCell ref="G86:H86"/>
    <mergeCell ref="A1:H1"/>
    <mergeCell ref="E31:F31"/>
    <mergeCell ref="E32:F32"/>
    <mergeCell ref="E33:F33"/>
    <mergeCell ref="E36:F36"/>
    <mergeCell ref="E37:F37"/>
  </mergeCells>
  <conditionalFormatting sqref="D34:D35 B34:B35 C31:C37">
    <cfRule type="expression" priority="1" dxfId="1" stopIfTrue="1">
      <formula>ISERROR(B31)</formula>
    </cfRule>
  </conditionalFormatting>
  <conditionalFormatting sqref="D31:D33 D36:D37 B31:B33 B36:B37">
    <cfRule type="cellIs" priority="2" dxfId="0" operator="lessThan" stopIfTrue="1">
      <formula>0</formula>
    </cfRule>
  </conditionalFormatting>
  <hyperlinks>
    <hyperlink ref="G87" r:id="rId1" display="www.yobrew.co.uk"/>
    <hyperlink ref="G86" r:id="rId2" display="jamesbsmith@hotmail.com"/>
  </hyperlinks>
  <printOptions horizontalCentered="1"/>
  <pageMargins left="0.7" right="0.7" top="0.43" bottom="0.61" header="0.3" footer="0.57"/>
  <pageSetup fitToHeight="1" fitToWidth="1" orientation="portrait" paperSize="9" scale="70" r:id="rId4"/>
  <drawing r:id="rId3"/>
</worksheet>
</file>

<file path=xl/worksheets/sheet5.xml><?xml version="1.0" encoding="utf-8"?>
<worksheet xmlns="http://schemas.openxmlformats.org/spreadsheetml/2006/main" xmlns:r="http://schemas.openxmlformats.org/officeDocument/2006/relationships">
  <sheetPr>
    <tabColor indexed="48"/>
    <pageSetUpPr fitToPage="1"/>
  </sheetPr>
  <dimension ref="A1:W85"/>
  <sheetViews>
    <sheetView zoomScale="85" zoomScaleNormal="85" zoomScaleSheetLayoutView="100" zoomScalePageLayoutView="0" workbookViewId="0" topLeftCell="A1">
      <pane ySplit="12" topLeftCell="BM13" activePane="bottomLeft" state="frozen"/>
      <selection pane="topLeft" activeCell="A1" sqref="A1"/>
      <selection pane="bottomLeft" activeCell="B8" sqref="B8:V8"/>
    </sheetView>
  </sheetViews>
  <sheetFormatPr defaultColWidth="9.140625" defaultRowHeight="15"/>
  <cols>
    <col min="1" max="1" width="1.7109375" style="0" customWidth="1"/>
    <col min="2" max="2" width="5.00390625" style="0" customWidth="1"/>
    <col min="3" max="3" width="31.28125" style="0" customWidth="1"/>
    <col min="4" max="7" width="6.57421875" style="0" customWidth="1"/>
    <col min="8" max="9" width="5.7109375" style="0" hidden="1" customWidth="1"/>
    <col min="10" max="10" width="6.00390625" style="0" hidden="1" customWidth="1"/>
    <col min="11" max="11" width="2.140625" style="0" customWidth="1"/>
    <col min="12" max="12" width="24.140625" style="0" customWidth="1"/>
    <col min="13" max="15" width="6.57421875" style="0" customWidth="1"/>
    <col min="16" max="16" width="5.57421875" style="0" hidden="1" customWidth="1"/>
    <col min="17" max="18" width="5.28125" style="0" hidden="1" customWidth="1"/>
    <col min="19" max="19" width="7.8515625" style="0" customWidth="1"/>
    <col min="20" max="21" width="6.8515625" style="0" customWidth="1"/>
    <col min="22" max="22" width="7.00390625" style="0" customWidth="1"/>
    <col min="23" max="23" width="1.7109375" style="0" customWidth="1"/>
    <col min="24" max="24" width="3.421875" style="0" customWidth="1"/>
  </cols>
  <sheetData>
    <row r="1" spans="1:23" ht="20.25">
      <c r="A1" s="33"/>
      <c r="B1" s="782"/>
      <c r="C1" s="782"/>
      <c r="D1" s="782"/>
      <c r="E1" s="1367" t="s">
        <v>798</v>
      </c>
      <c r="F1" s="1367"/>
      <c r="G1" s="1367"/>
      <c r="H1" s="1367"/>
      <c r="I1" s="1367"/>
      <c r="J1" s="1367"/>
      <c r="K1" s="1367"/>
      <c r="L1" s="1367"/>
      <c r="M1" s="1367"/>
      <c r="N1" s="803"/>
      <c r="O1" s="803"/>
      <c r="P1" s="803"/>
      <c r="Q1" s="803"/>
      <c r="R1" s="803"/>
      <c r="S1" s="803"/>
      <c r="T1" s="803"/>
      <c r="U1" s="1226" t="s">
        <v>613</v>
      </c>
      <c r="V1" s="1226"/>
      <c r="W1" s="16"/>
    </row>
    <row r="2" spans="1:23" ht="16.5" customHeight="1">
      <c r="A2" s="33"/>
      <c r="B2" s="1363" t="s">
        <v>614</v>
      </c>
      <c r="C2" s="1364"/>
      <c r="D2" s="509"/>
      <c r="E2" s="509"/>
      <c r="F2" s="509"/>
      <c r="G2" s="804"/>
      <c r="H2" s="302"/>
      <c r="I2" s="782"/>
      <c r="J2" s="782"/>
      <c r="K2" s="782"/>
      <c r="L2" s="782"/>
      <c r="M2" s="782"/>
      <c r="N2" s="782"/>
      <c r="O2" s="782"/>
      <c r="P2" s="782"/>
      <c r="Q2" s="782"/>
      <c r="R2" s="782"/>
      <c r="S2" s="782"/>
      <c r="T2" s="1365" t="s">
        <v>3</v>
      </c>
      <c r="U2" s="1366"/>
      <c r="V2" s="1366"/>
      <c r="W2" s="16"/>
    </row>
    <row r="3" spans="1:23" ht="13.5" customHeight="1">
      <c r="A3" s="33"/>
      <c r="B3" s="1368" t="s">
        <v>419</v>
      </c>
      <c r="C3" s="1368"/>
      <c r="D3" s="1369" t="str">
        <f>FIXED((25*(D79+M79)+R79),0)&amp;"ml (including any ice etc.)"</f>
        <v>203ml (including any ice etc.)</v>
      </c>
      <c r="E3" s="1369"/>
      <c r="F3" s="1369"/>
      <c r="G3" s="1369"/>
      <c r="H3" s="23"/>
      <c r="I3" s="527"/>
      <c r="J3" s="28"/>
      <c r="K3" s="28"/>
      <c r="L3" s="527"/>
      <c r="M3" s="16"/>
      <c r="N3" s="22"/>
      <c r="O3" s="22"/>
      <c r="P3" s="22"/>
      <c r="Q3" s="22"/>
      <c r="R3" s="22"/>
      <c r="S3" s="22"/>
      <c r="T3" s="22"/>
      <c r="U3" s="22"/>
      <c r="V3" s="22"/>
      <c r="W3" s="16"/>
    </row>
    <row r="4" spans="1:23" ht="13.5" customHeight="1">
      <c r="A4" s="33"/>
      <c r="B4" s="528"/>
      <c r="C4" s="529" t="s">
        <v>280</v>
      </c>
      <c r="D4" s="1370" t="str">
        <f>FIXED((I79+P79),0)&amp;" calories"</f>
        <v>181 calories</v>
      </c>
      <c r="E4" s="1370"/>
      <c r="F4" s="1370"/>
      <c r="G4" s="1370"/>
      <c r="H4" s="23"/>
      <c r="I4" s="527"/>
      <c r="J4" s="28"/>
      <c r="K4" s="28"/>
      <c r="L4" s="527"/>
      <c r="M4" s="98"/>
      <c r="N4" s="99"/>
      <c r="O4" s="1374" t="s">
        <v>519</v>
      </c>
      <c r="P4" s="1124"/>
      <c r="Q4" s="1124"/>
      <c r="R4" s="1124"/>
      <c r="S4" s="1124"/>
      <c r="T4" s="1124"/>
      <c r="U4" s="1124"/>
      <c r="V4" s="1124"/>
      <c r="W4" s="1124"/>
    </row>
    <row r="5" spans="1:23" ht="13.5" customHeight="1">
      <c r="A5" s="33"/>
      <c r="B5" s="528"/>
      <c r="C5" s="529" t="s">
        <v>280</v>
      </c>
      <c r="D5" s="1370" t="str">
        <f>FIXED((J79+Q79),1)&amp;" carbs"</f>
        <v>21.9 carbs</v>
      </c>
      <c r="E5" s="1370"/>
      <c r="F5" s="1370"/>
      <c r="G5" s="1370"/>
      <c r="H5" s="23"/>
      <c r="I5" s="527"/>
      <c r="J5" s="28"/>
      <c r="K5" s="28"/>
      <c r="L5" s="527"/>
      <c r="M5" s="16"/>
      <c r="N5" s="16"/>
      <c r="O5" s="16"/>
      <c r="P5" s="16"/>
      <c r="Q5" s="16"/>
      <c r="R5" s="16"/>
      <c r="S5" s="16"/>
      <c r="T5" s="16"/>
      <c r="U5" s="16"/>
      <c r="V5" s="22"/>
      <c r="W5" s="16"/>
    </row>
    <row r="6" spans="1:23" ht="13.5" customHeight="1">
      <c r="A6" s="370"/>
      <c r="B6" s="24"/>
      <c r="C6" s="530" t="s">
        <v>280</v>
      </c>
      <c r="D6" s="1356" t="str">
        <f>FIXED(H79,1)&amp;" units of alcohol (UK)"</f>
        <v>1.6 units of alcohol (UK)</v>
      </c>
      <c r="E6" s="1356"/>
      <c r="F6" s="1356"/>
      <c r="G6" s="1356"/>
      <c r="H6" s="23"/>
      <c r="I6" s="527"/>
      <c r="J6" s="28"/>
      <c r="K6" s="28"/>
      <c r="L6" s="527"/>
      <c r="M6" s="1357" t="s">
        <v>515</v>
      </c>
      <c r="N6" s="1357"/>
      <c r="O6" s="1357"/>
      <c r="P6" s="1357"/>
      <c r="Q6" s="1357"/>
      <c r="R6" s="1357"/>
      <c r="S6" s="1357"/>
      <c r="T6" s="1357"/>
      <c r="U6" s="1357"/>
      <c r="V6" s="1357"/>
      <c r="W6" s="527"/>
    </row>
    <row r="7" spans="1:23" ht="9" customHeight="1">
      <c r="A7" s="368"/>
      <c r="B7" s="527"/>
      <c r="C7" s="527"/>
      <c r="D7" s="527"/>
      <c r="E7" s="527"/>
      <c r="F7" s="527"/>
      <c r="G7" s="23"/>
      <c r="H7" s="23"/>
      <c r="I7" s="527"/>
      <c r="J7" s="28"/>
      <c r="K7" s="28"/>
      <c r="L7" s="527"/>
      <c r="M7" s="527"/>
      <c r="N7" s="23"/>
      <c r="O7" s="23"/>
      <c r="P7" s="527"/>
      <c r="Q7" s="369"/>
      <c r="R7" s="369"/>
      <c r="S7" s="527"/>
      <c r="T7" s="23"/>
      <c r="U7" s="23"/>
      <c r="V7" s="23"/>
      <c r="W7" s="527"/>
    </row>
    <row r="8" spans="1:23" ht="13.5" customHeight="1">
      <c r="A8" s="368"/>
      <c r="B8" s="1381" t="s">
        <v>420</v>
      </c>
      <c r="C8" s="1381"/>
      <c r="D8" s="1381"/>
      <c r="E8" s="1381"/>
      <c r="F8" s="1381"/>
      <c r="G8" s="1381"/>
      <c r="H8" s="1381"/>
      <c r="I8" s="1381"/>
      <c r="J8" s="1381"/>
      <c r="K8" s="1381"/>
      <c r="L8" s="1381"/>
      <c r="M8" s="1381"/>
      <c r="N8" s="1381"/>
      <c r="O8" s="1381"/>
      <c r="P8" s="1381"/>
      <c r="Q8" s="1381"/>
      <c r="R8" s="1381"/>
      <c r="S8" s="1381"/>
      <c r="T8" s="1381"/>
      <c r="U8" s="1381"/>
      <c r="V8" s="1381"/>
      <c r="W8" s="527"/>
    </row>
    <row r="9" spans="1:23" ht="13.5" customHeight="1">
      <c r="A9" s="368"/>
      <c r="B9" s="1384" t="s">
        <v>421</v>
      </c>
      <c r="C9" s="1384"/>
      <c r="D9" s="1384"/>
      <c r="E9" s="1384"/>
      <c r="F9" s="1384"/>
      <c r="G9" s="1384"/>
      <c r="H9" s="1384"/>
      <c r="I9" s="1384"/>
      <c r="J9" s="1384"/>
      <c r="K9" s="1384"/>
      <c r="L9" s="1384"/>
      <c r="M9" s="1384"/>
      <c r="N9" s="1384"/>
      <c r="O9" s="1384"/>
      <c r="P9" s="1384"/>
      <c r="Q9" s="1384"/>
      <c r="R9" s="1384"/>
      <c r="S9" s="1384"/>
      <c r="T9" s="1384"/>
      <c r="U9" s="1384"/>
      <c r="V9" s="1384"/>
      <c r="W9" s="527"/>
    </row>
    <row r="10" spans="1:23" ht="9" customHeight="1">
      <c r="A10" s="368"/>
      <c r="B10" s="531"/>
      <c r="C10" s="531"/>
      <c r="D10" s="531"/>
      <c r="E10" s="531"/>
      <c r="F10" s="531"/>
      <c r="G10" s="531"/>
      <c r="H10" s="531"/>
      <c r="I10" s="531"/>
      <c r="J10" s="531"/>
      <c r="K10" s="531"/>
      <c r="L10" s="531"/>
      <c r="M10" s="531"/>
      <c r="N10" s="531"/>
      <c r="O10" s="531"/>
      <c r="P10" s="531"/>
      <c r="Q10" s="531"/>
      <c r="R10" s="531"/>
      <c r="S10" s="531"/>
      <c r="T10" s="531"/>
      <c r="U10" s="531"/>
      <c r="V10" s="531"/>
      <c r="W10" s="527"/>
    </row>
    <row r="11" spans="1:23" ht="13.5" customHeight="1">
      <c r="A11" s="368"/>
      <c r="B11" s="1385" t="s">
        <v>422</v>
      </c>
      <c r="C11" s="1385"/>
      <c r="D11" s="527"/>
      <c r="E11" s="527"/>
      <c r="F11" s="527"/>
      <c r="G11" s="527"/>
      <c r="H11" s="527"/>
      <c r="I11" s="527"/>
      <c r="J11" s="527"/>
      <c r="K11" s="527"/>
      <c r="L11" s="527"/>
      <c r="M11" s="527"/>
      <c r="N11" s="527"/>
      <c r="O11" s="527"/>
      <c r="P11" s="527"/>
      <c r="Q11" s="369"/>
      <c r="R11" s="369"/>
      <c r="S11" s="532"/>
      <c r="T11" s="532"/>
      <c r="U11" s="533"/>
      <c r="V11" s="533"/>
      <c r="W11" s="527"/>
    </row>
    <row r="12" spans="1:23" ht="27" customHeight="1">
      <c r="A12" s="33"/>
      <c r="B12" s="1362" t="s">
        <v>656</v>
      </c>
      <c r="C12" s="1362"/>
      <c r="D12" s="25" t="s">
        <v>472</v>
      </c>
      <c r="E12" s="25" t="s">
        <v>309</v>
      </c>
      <c r="F12" s="26" t="s">
        <v>473</v>
      </c>
      <c r="G12" s="26" t="s">
        <v>475</v>
      </c>
      <c r="H12" s="27" t="s">
        <v>309</v>
      </c>
      <c r="I12" s="27" t="s">
        <v>474</v>
      </c>
      <c r="J12" s="30" t="s">
        <v>476</v>
      </c>
      <c r="K12" s="31"/>
      <c r="L12" s="32" t="s">
        <v>477</v>
      </c>
      <c r="M12" s="25" t="s">
        <v>472</v>
      </c>
      <c r="N12" s="26" t="s">
        <v>473</v>
      </c>
      <c r="O12" s="26" t="s">
        <v>475</v>
      </c>
      <c r="P12" s="525" t="s">
        <v>474</v>
      </c>
      <c r="Q12" s="525" t="s">
        <v>476</v>
      </c>
      <c r="R12" s="526"/>
      <c r="S12" s="1378" t="s">
        <v>520</v>
      </c>
      <c r="T12" s="1379"/>
      <c r="U12" s="1379"/>
      <c r="V12" s="1380"/>
      <c r="W12" s="33"/>
    </row>
    <row r="13" spans="1:23" ht="13.5" customHeight="1">
      <c r="A13" s="33"/>
      <c r="B13" s="644">
        <v>1</v>
      </c>
      <c r="C13" s="645" t="s">
        <v>423</v>
      </c>
      <c r="D13" s="646"/>
      <c r="E13" s="647">
        <v>0.4</v>
      </c>
      <c r="F13" s="647">
        <v>216</v>
      </c>
      <c r="G13" s="647">
        <v>0</v>
      </c>
      <c r="H13" s="648">
        <f aca="true" t="shared" si="0" ref="H13:H47">100*D13*E13/40</f>
        <v>0</v>
      </c>
      <c r="I13" s="648">
        <f aca="true" t="shared" si="1" ref="I13:I47">$D13*F13*25/100</f>
        <v>0</v>
      </c>
      <c r="J13" s="649">
        <f aca="true" t="shared" si="2" ref="J13:J47">$D13*G13*25/100</f>
        <v>0</v>
      </c>
      <c r="K13" s="611"/>
      <c r="L13" s="645" t="s">
        <v>478</v>
      </c>
      <c r="M13" s="650"/>
      <c r="N13" s="647">
        <v>49</v>
      </c>
      <c r="O13" s="647">
        <v>12.2</v>
      </c>
      <c r="P13" s="651">
        <f aca="true" t="shared" si="3" ref="P13:P47">$M13*N13*25/100</f>
        <v>0</v>
      </c>
      <c r="Q13" s="651">
        <f aca="true" t="shared" si="4" ref="Q13:Q47">$M13*O13*25/100</f>
        <v>0</v>
      </c>
      <c r="R13" s="652"/>
      <c r="S13" s="1371"/>
      <c r="T13" s="1372"/>
      <c r="U13" s="1372"/>
      <c r="V13" s="1373"/>
      <c r="W13" s="33"/>
    </row>
    <row r="14" spans="1:23" ht="13.5" customHeight="1">
      <c r="A14" s="33"/>
      <c r="B14" s="644">
        <f aca="true" t="shared" si="5" ref="B14:B48">B13+1</f>
        <v>2</v>
      </c>
      <c r="C14" s="645"/>
      <c r="D14" s="646"/>
      <c r="E14" s="647"/>
      <c r="F14" s="647">
        <v>0</v>
      </c>
      <c r="G14" s="647">
        <v>0</v>
      </c>
      <c r="H14" s="648">
        <f t="shared" si="0"/>
        <v>0</v>
      </c>
      <c r="I14" s="648">
        <f t="shared" si="1"/>
        <v>0</v>
      </c>
      <c r="J14" s="649">
        <f t="shared" si="2"/>
        <v>0</v>
      </c>
      <c r="K14" s="611"/>
      <c r="L14" s="645" t="s">
        <v>479</v>
      </c>
      <c r="M14" s="650"/>
      <c r="N14" s="647">
        <v>24</v>
      </c>
      <c r="O14" s="647">
        <v>4.9</v>
      </c>
      <c r="P14" s="651">
        <f t="shared" si="3"/>
        <v>0</v>
      </c>
      <c r="Q14" s="651">
        <f t="shared" si="4"/>
        <v>0</v>
      </c>
      <c r="R14" s="652"/>
      <c r="S14" s="1371"/>
      <c r="T14" s="1372"/>
      <c r="U14" s="1372"/>
      <c r="V14" s="1373"/>
      <c r="W14" s="33"/>
    </row>
    <row r="15" spans="1:23" ht="13.5" customHeight="1">
      <c r="A15" s="33"/>
      <c r="B15" s="644">
        <f t="shared" si="5"/>
        <v>3</v>
      </c>
      <c r="C15" s="647" t="s">
        <v>424</v>
      </c>
      <c r="D15" s="650"/>
      <c r="E15" s="647">
        <v>0.68</v>
      </c>
      <c r="F15" s="647">
        <v>400</v>
      </c>
      <c r="G15" s="647">
        <v>0</v>
      </c>
      <c r="H15" s="648">
        <f t="shared" si="0"/>
        <v>0</v>
      </c>
      <c r="I15" s="648">
        <f t="shared" si="1"/>
        <v>0</v>
      </c>
      <c r="J15" s="649">
        <f t="shared" si="2"/>
        <v>0</v>
      </c>
      <c r="K15" s="611"/>
      <c r="L15" s="647"/>
      <c r="M15" s="650"/>
      <c r="N15" s="647">
        <v>2</v>
      </c>
      <c r="O15" s="647">
        <v>0</v>
      </c>
      <c r="P15" s="651">
        <f t="shared" si="3"/>
        <v>0</v>
      </c>
      <c r="Q15" s="651">
        <f t="shared" si="4"/>
        <v>0</v>
      </c>
      <c r="R15" s="652"/>
      <c r="S15" s="1371"/>
      <c r="T15" s="1372"/>
      <c r="U15" s="1372"/>
      <c r="V15" s="1373"/>
      <c r="W15" s="33"/>
    </row>
    <row r="16" spans="1:23" ht="13.5" customHeight="1">
      <c r="A16" s="33"/>
      <c r="B16" s="644">
        <f t="shared" si="5"/>
        <v>4</v>
      </c>
      <c r="C16" s="647" t="s">
        <v>425</v>
      </c>
      <c r="D16" s="650"/>
      <c r="E16" s="647">
        <v>0.18</v>
      </c>
      <c r="F16" s="647">
        <v>260</v>
      </c>
      <c r="G16" s="647">
        <v>28</v>
      </c>
      <c r="H16" s="648">
        <f t="shared" si="0"/>
        <v>0</v>
      </c>
      <c r="I16" s="648">
        <f t="shared" si="1"/>
        <v>0</v>
      </c>
      <c r="J16" s="649">
        <f t="shared" si="2"/>
        <v>0</v>
      </c>
      <c r="K16" s="611"/>
      <c r="L16" s="645"/>
      <c r="M16" s="650"/>
      <c r="N16" s="647">
        <v>0</v>
      </c>
      <c r="O16" s="647">
        <v>0</v>
      </c>
      <c r="P16" s="651">
        <f t="shared" si="3"/>
        <v>0</v>
      </c>
      <c r="Q16" s="651">
        <f t="shared" si="4"/>
        <v>0</v>
      </c>
      <c r="R16" s="652"/>
      <c r="S16" s="1371"/>
      <c r="T16" s="1372"/>
      <c r="U16" s="1372"/>
      <c r="V16" s="1373"/>
      <c r="W16" s="33"/>
    </row>
    <row r="17" spans="1:23" ht="13.5" customHeight="1">
      <c r="A17" s="33"/>
      <c r="B17" s="644">
        <f t="shared" si="5"/>
        <v>5</v>
      </c>
      <c r="C17" s="647" t="s">
        <v>426</v>
      </c>
      <c r="D17" s="650"/>
      <c r="E17" s="647">
        <v>0.17</v>
      </c>
      <c r="F17" s="647">
        <v>380</v>
      </c>
      <c r="G17" s="647">
        <v>43.2</v>
      </c>
      <c r="H17" s="648">
        <f t="shared" si="0"/>
        <v>0</v>
      </c>
      <c r="I17" s="648">
        <f t="shared" si="1"/>
        <v>0</v>
      </c>
      <c r="J17" s="649">
        <f t="shared" si="2"/>
        <v>0</v>
      </c>
      <c r="K17" s="611"/>
      <c r="L17" s="647" t="s">
        <v>480</v>
      </c>
      <c r="M17" s="650"/>
      <c r="N17" s="647">
        <v>83</v>
      </c>
      <c r="O17" s="647">
        <v>1.7</v>
      </c>
      <c r="P17" s="651">
        <f t="shared" si="3"/>
        <v>0</v>
      </c>
      <c r="Q17" s="651">
        <f t="shared" si="4"/>
        <v>0</v>
      </c>
      <c r="R17" s="652"/>
      <c r="S17" s="1371"/>
      <c r="T17" s="1372"/>
      <c r="U17" s="1372"/>
      <c r="V17" s="1373"/>
      <c r="W17" s="33"/>
    </row>
    <row r="18" spans="1:23" ht="13.5" customHeight="1">
      <c r="A18" s="33"/>
      <c r="B18" s="644">
        <f t="shared" si="5"/>
        <v>6</v>
      </c>
      <c r="C18" s="647" t="s">
        <v>427</v>
      </c>
      <c r="D18" s="650"/>
      <c r="E18" s="647">
        <v>0.45</v>
      </c>
      <c r="F18" s="647">
        <v>64</v>
      </c>
      <c r="G18" s="647">
        <v>44</v>
      </c>
      <c r="H18" s="648">
        <f t="shared" si="0"/>
        <v>0</v>
      </c>
      <c r="I18" s="648">
        <f t="shared" si="1"/>
        <v>0</v>
      </c>
      <c r="J18" s="649">
        <f t="shared" si="2"/>
        <v>0</v>
      </c>
      <c r="K18" s="611"/>
      <c r="L18" s="645" t="s">
        <v>481</v>
      </c>
      <c r="M18" s="650">
        <v>2</v>
      </c>
      <c r="N18" s="647">
        <v>40</v>
      </c>
      <c r="O18" s="647">
        <v>11.3</v>
      </c>
      <c r="P18" s="651">
        <f t="shared" si="3"/>
        <v>20</v>
      </c>
      <c r="Q18" s="651">
        <f t="shared" si="4"/>
        <v>5.65</v>
      </c>
      <c r="R18" s="652"/>
      <c r="S18" s="1371"/>
      <c r="T18" s="1372"/>
      <c r="U18" s="1372"/>
      <c r="V18" s="1373"/>
      <c r="W18" s="33"/>
    </row>
    <row r="19" spans="1:23" ht="13.5" customHeight="1">
      <c r="A19" s="33"/>
      <c r="B19" s="644">
        <f t="shared" si="5"/>
        <v>7</v>
      </c>
      <c r="C19" s="647"/>
      <c r="D19" s="650"/>
      <c r="E19" s="647"/>
      <c r="F19" s="647">
        <v>0</v>
      </c>
      <c r="G19" s="647">
        <v>0</v>
      </c>
      <c r="H19" s="648">
        <f t="shared" si="0"/>
        <v>0</v>
      </c>
      <c r="I19" s="648">
        <f t="shared" si="1"/>
        <v>0</v>
      </c>
      <c r="J19" s="649">
        <f t="shared" si="2"/>
        <v>0</v>
      </c>
      <c r="K19" s="611"/>
      <c r="L19" s="645" t="s">
        <v>482</v>
      </c>
      <c r="M19" s="646">
        <v>2</v>
      </c>
      <c r="N19" s="647">
        <v>58</v>
      </c>
      <c r="O19" s="647">
        <v>14.5</v>
      </c>
      <c r="P19" s="651">
        <f t="shared" si="3"/>
        <v>29</v>
      </c>
      <c r="Q19" s="651">
        <f t="shared" si="4"/>
        <v>7.25</v>
      </c>
      <c r="R19" s="652"/>
      <c r="S19" s="1371"/>
      <c r="T19" s="1372"/>
      <c r="U19" s="1372"/>
      <c r="V19" s="1373"/>
      <c r="W19" s="33"/>
    </row>
    <row r="20" spans="1:23" ht="13.5" customHeight="1">
      <c r="A20" s="33"/>
      <c r="B20" s="644">
        <f t="shared" si="5"/>
        <v>8</v>
      </c>
      <c r="C20" s="647" t="s">
        <v>428</v>
      </c>
      <c r="D20" s="650"/>
      <c r="E20" s="647">
        <v>0.4</v>
      </c>
      <c r="F20" s="647">
        <v>220</v>
      </c>
      <c r="G20" s="647">
        <v>0</v>
      </c>
      <c r="H20" s="648">
        <f t="shared" si="0"/>
        <v>0</v>
      </c>
      <c r="I20" s="648">
        <f t="shared" si="1"/>
        <v>0</v>
      </c>
      <c r="J20" s="649">
        <f t="shared" si="2"/>
        <v>0</v>
      </c>
      <c r="K20" s="611"/>
      <c r="L20" s="645" t="s">
        <v>483</v>
      </c>
      <c r="M20" s="646"/>
      <c r="N20" s="647">
        <v>58</v>
      </c>
      <c r="O20" s="647">
        <v>14.4</v>
      </c>
      <c r="P20" s="651">
        <f t="shared" si="3"/>
        <v>0</v>
      </c>
      <c r="Q20" s="651">
        <f t="shared" si="4"/>
        <v>0</v>
      </c>
      <c r="R20" s="652"/>
      <c r="S20" s="1371"/>
      <c r="T20" s="1372"/>
      <c r="U20" s="1372"/>
      <c r="V20" s="1373"/>
      <c r="W20" s="33"/>
    </row>
    <row r="21" spans="1:23" ht="13.5" customHeight="1">
      <c r="A21" s="33"/>
      <c r="B21" s="644">
        <f t="shared" si="5"/>
        <v>9</v>
      </c>
      <c r="C21" s="647" t="s">
        <v>429</v>
      </c>
      <c r="D21" s="650"/>
      <c r="E21" s="647">
        <v>0.4</v>
      </c>
      <c r="F21" s="647">
        <v>360</v>
      </c>
      <c r="G21" s="647">
        <v>20</v>
      </c>
      <c r="H21" s="648">
        <f t="shared" si="0"/>
        <v>0</v>
      </c>
      <c r="I21" s="648">
        <f t="shared" si="1"/>
        <v>0</v>
      </c>
      <c r="J21" s="649">
        <f t="shared" si="2"/>
        <v>0</v>
      </c>
      <c r="K21" s="611"/>
      <c r="L21" s="647" t="s">
        <v>484</v>
      </c>
      <c r="M21" s="650"/>
      <c r="N21" s="647">
        <v>194</v>
      </c>
      <c r="O21" s="647">
        <v>19.1</v>
      </c>
      <c r="P21" s="651">
        <f t="shared" si="3"/>
        <v>0</v>
      </c>
      <c r="Q21" s="651">
        <f t="shared" si="4"/>
        <v>0</v>
      </c>
      <c r="R21" s="652"/>
      <c r="S21" s="1371"/>
      <c r="T21" s="1372"/>
      <c r="U21" s="1372"/>
      <c r="V21" s="1373"/>
      <c r="W21" s="33"/>
    </row>
    <row r="22" spans="1:23" ht="13.5" customHeight="1">
      <c r="A22" s="33"/>
      <c r="B22" s="644">
        <f t="shared" si="5"/>
        <v>10</v>
      </c>
      <c r="C22" s="645" t="s">
        <v>430</v>
      </c>
      <c r="D22" s="650"/>
      <c r="E22" s="647">
        <v>0.4</v>
      </c>
      <c r="F22" s="647">
        <v>220</v>
      </c>
      <c r="G22" s="647">
        <v>0</v>
      </c>
      <c r="H22" s="648">
        <f t="shared" si="0"/>
        <v>0</v>
      </c>
      <c r="I22" s="648">
        <f t="shared" si="1"/>
        <v>0</v>
      </c>
      <c r="J22" s="649">
        <f t="shared" si="2"/>
        <v>0</v>
      </c>
      <c r="K22" s="611"/>
      <c r="L22" s="647"/>
      <c r="M22" s="650"/>
      <c r="N22" s="647">
        <v>0</v>
      </c>
      <c r="O22" s="647">
        <v>0</v>
      </c>
      <c r="P22" s="651">
        <f t="shared" si="3"/>
        <v>0</v>
      </c>
      <c r="Q22" s="651">
        <f t="shared" si="4"/>
        <v>0</v>
      </c>
      <c r="R22" s="652"/>
      <c r="S22" s="1371"/>
      <c r="T22" s="1372"/>
      <c r="U22" s="1372"/>
      <c r="V22" s="1373"/>
      <c r="W22" s="33"/>
    </row>
    <row r="23" spans="1:23" ht="13.5" customHeight="1">
      <c r="A23" s="33"/>
      <c r="B23" s="644">
        <f t="shared" si="5"/>
        <v>11</v>
      </c>
      <c r="C23" s="647"/>
      <c r="D23" s="650"/>
      <c r="E23" s="647"/>
      <c r="F23" s="647">
        <v>0</v>
      </c>
      <c r="G23" s="647">
        <v>0</v>
      </c>
      <c r="H23" s="648">
        <f t="shared" si="0"/>
        <v>0</v>
      </c>
      <c r="I23" s="648">
        <f t="shared" si="1"/>
        <v>0</v>
      </c>
      <c r="J23" s="649">
        <f t="shared" si="2"/>
        <v>0</v>
      </c>
      <c r="K23" s="611"/>
      <c r="L23" s="647"/>
      <c r="M23" s="650"/>
      <c r="N23" s="647">
        <v>0</v>
      </c>
      <c r="O23" s="647">
        <v>0</v>
      </c>
      <c r="P23" s="651">
        <f t="shared" si="3"/>
        <v>0</v>
      </c>
      <c r="Q23" s="651">
        <f t="shared" si="4"/>
        <v>0</v>
      </c>
      <c r="R23" s="652"/>
      <c r="S23" s="1371"/>
      <c r="T23" s="1372"/>
      <c r="U23" s="1372"/>
      <c r="V23" s="1373"/>
      <c r="W23" s="33"/>
    </row>
    <row r="24" spans="1:23" ht="13.5" customHeight="1">
      <c r="A24" s="33"/>
      <c r="B24" s="644">
        <f t="shared" si="5"/>
        <v>12</v>
      </c>
      <c r="C24" s="647" t="s">
        <v>431</v>
      </c>
      <c r="D24" s="650"/>
      <c r="E24" s="647">
        <v>0.25</v>
      </c>
      <c r="F24" s="647">
        <v>320</v>
      </c>
      <c r="G24" s="647">
        <v>32</v>
      </c>
      <c r="H24" s="648">
        <f t="shared" si="0"/>
        <v>0</v>
      </c>
      <c r="I24" s="648">
        <f t="shared" si="1"/>
        <v>0</v>
      </c>
      <c r="J24" s="649">
        <f t="shared" si="2"/>
        <v>0</v>
      </c>
      <c r="K24" s="611"/>
      <c r="L24" s="647" t="s">
        <v>485</v>
      </c>
      <c r="M24" s="650"/>
      <c r="N24" s="647">
        <v>450</v>
      </c>
      <c r="O24" s="647">
        <v>48</v>
      </c>
      <c r="P24" s="651">
        <f t="shared" si="3"/>
        <v>0</v>
      </c>
      <c r="Q24" s="651">
        <f t="shared" si="4"/>
        <v>0</v>
      </c>
      <c r="R24" s="652"/>
      <c r="S24" s="1371"/>
      <c r="T24" s="1372"/>
      <c r="U24" s="1372"/>
      <c r="V24" s="1373"/>
      <c r="W24" s="33"/>
    </row>
    <row r="25" spans="1:23" ht="13.5" customHeight="1">
      <c r="A25" s="33"/>
      <c r="B25" s="644">
        <f t="shared" si="5"/>
        <v>13</v>
      </c>
      <c r="C25" s="647" t="s">
        <v>432</v>
      </c>
      <c r="D25" s="650"/>
      <c r="E25" s="647">
        <v>0.4</v>
      </c>
      <c r="F25" s="647">
        <v>220</v>
      </c>
      <c r="G25" s="654">
        <v>0</v>
      </c>
      <c r="H25" s="648">
        <f t="shared" si="0"/>
        <v>0</v>
      </c>
      <c r="I25" s="648">
        <f t="shared" si="1"/>
        <v>0</v>
      </c>
      <c r="J25" s="649">
        <f t="shared" si="2"/>
        <v>0</v>
      </c>
      <c r="K25" s="611"/>
      <c r="L25" s="647"/>
      <c r="M25" s="650"/>
      <c r="N25" s="647">
        <v>0</v>
      </c>
      <c r="O25" s="647">
        <v>0</v>
      </c>
      <c r="P25" s="651">
        <f t="shared" si="3"/>
        <v>0</v>
      </c>
      <c r="Q25" s="651">
        <f t="shared" si="4"/>
        <v>0</v>
      </c>
      <c r="R25" s="652"/>
      <c r="S25" s="1371"/>
      <c r="T25" s="1372"/>
      <c r="U25" s="1372"/>
      <c r="V25" s="1373"/>
      <c r="W25" s="33"/>
    </row>
    <row r="26" spans="1:23" ht="13.5" customHeight="1">
      <c r="A26" s="33"/>
      <c r="B26" s="644">
        <f t="shared" si="5"/>
        <v>14</v>
      </c>
      <c r="C26" s="647" t="s">
        <v>433</v>
      </c>
      <c r="D26" s="650"/>
      <c r="E26" s="647">
        <v>0.4</v>
      </c>
      <c r="F26" s="647">
        <v>216</v>
      </c>
      <c r="G26" s="647">
        <v>0</v>
      </c>
      <c r="H26" s="648">
        <f t="shared" si="0"/>
        <v>0</v>
      </c>
      <c r="I26" s="648">
        <f t="shared" si="1"/>
        <v>0</v>
      </c>
      <c r="J26" s="649">
        <f t="shared" si="2"/>
        <v>0</v>
      </c>
      <c r="K26" s="611"/>
      <c r="L26" s="647" t="s">
        <v>486</v>
      </c>
      <c r="M26" s="650"/>
      <c r="N26" s="647">
        <v>46</v>
      </c>
      <c r="O26" s="647">
        <v>10</v>
      </c>
      <c r="P26" s="651">
        <f t="shared" si="3"/>
        <v>0</v>
      </c>
      <c r="Q26" s="651">
        <f t="shared" si="4"/>
        <v>0</v>
      </c>
      <c r="R26" s="652"/>
      <c r="S26" s="1371"/>
      <c r="T26" s="1372"/>
      <c r="U26" s="1372"/>
      <c r="V26" s="1373"/>
      <c r="W26" s="33"/>
    </row>
    <row r="27" spans="1:23" ht="13.5" customHeight="1">
      <c r="A27" s="33"/>
      <c r="B27" s="644">
        <f t="shared" si="5"/>
        <v>15</v>
      </c>
      <c r="C27" s="647" t="s">
        <v>434</v>
      </c>
      <c r="D27" s="650"/>
      <c r="E27" s="647">
        <v>0.4</v>
      </c>
      <c r="F27" s="647">
        <v>400</v>
      </c>
      <c r="G27" s="647">
        <v>40</v>
      </c>
      <c r="H27" s="648">
        <f t="shared" si="0"/>
        <v>0</v>
      </c>
      <c r="I27" s="648">
        <f t="shared" si="1"/>
        <v>0</v>
      </c>
      <c r="J27" s="649">
        <f t="shared" si="2"/>
        <v>0</v>
      </c>
      <c r="K27" s="611"/>
      <c r="L27" s="647"/>
      <c r="M27" s="650"/>
      <c r="N27" s="647">
        <v>0</v>
      </c>
      <c r="O27" s="647">
        <v>0</v>
      </c>
      <c r="P27" s="651">
        <f t="shared" si="3"/>
        <v>0</v>
      </c>
      <c r="Q27" s="651">
        <f t="shared" si="4"/>
        <v>0</v>
      </c>
      <c r="R27" s="652"/>
      <c r="S27" s="1371"/>
      <c r="T27" s="1372"/>
      <c r="U27" s="1372"/>
      <c r="V27" s="1373"/>
      <c r="W27" s="33"/>
    </row>
    <row r="28" spans="1:23" ht="13.5" customHeight="1">
      <c r="A28" s="33"/>
      <c r="B28" s="644">
        <f t="shared" si="5"/>
        <v>16</v>
      </c>
      <c r="C28" s="647" t="s">
        <v>435</v>
      </c>
      <c r="D28" s="650"/>
      <c r="E28" s="647">
        <v>0.28</v>
      </c>
      <c r="F28" s="647">
        <v>392</v>
      </c>
      <c r="G28" s="647">
        <v>43.2</v>
      </c>
      <c r="H28" s="648">
        <f t="shared" si="0"/>
        <v>0</v>
      </c>
      <c r="I28" s="648">
        <f t="shared" si="1"/>
        <v>0</v>
      </c>
      <c r="J28" s="649">
        <f t="shared" si="2"/>
        <v>0</v>
      </c>
      <c r="K28" s="611"/>
      <c r="L28" s="645"/>
      <c r="M28" s="646"/>
      <c r="N28" s="647">
        <v>0</v>
      </c>
      <c r="O28" s="647">
        <v>0</v>
      </c>
      <c r="P28" s="651">
        <f t="shared" si="3"/>
        <v>0</v>
      </c>
      <c r="Q28" s="651">
        <f t="shared" si="4"/>
        <v>0</v>
      </c>
      <c r="R28" s="652"/>
      <c r="S28" s="1371"/>
      <c r="T28" s="1372"/>
      <c r="U28" s="1372"/>
      <c r="V28" s="1373"/>
      <c r="W28" s="33"/>
    </row>
    <row r="29" spans="1:23" ht="13.5" customHeight="1">
      <c r="A29" s="33"/>
      <c r="B29" s="644">
        <f t="shared" si="5"/>
        <v>17</v>
      </c>
      <c r="C29" s="647" t="s">
        <v>436</v>
      </c>
      <c r="D29" s="650"/>
      <c r="E29" s="647">
        <v>0.3</v>
      </c>
      <c r="F29" s="647">
        <v>400</v>
      </c>
      <c r="G29" s="647">
        <v>44</v>
      </c>
      <c r="H29" s="648">
        <f t="shared" si="0"/>
        <v>0</v>
      </c>
      <c r="I29" s="648">
        <f t="shared" si="1"/>
        <v>0</v>
      </c>
      <c r="J29" s="649">
        <f t="shared" si="2"/>
        <v>0</v>
      </c>
      <c r="K29" s="611"/>
      <c r="L29" s="647" t="s">
        <v>487</v>
      </c>
      <c r="M29" s="650"/>
      <c r="N29" s="647">
        <v>38</v>
      </c>
      <c r="O29" s="647">
        <v>10.5</v>
      </c>
      <c r="P29" s="651">
        <f t="shared" si="3"/>
        <v>0</v>
      </c>
      <c r="Q29" s="651">
        <f t="shared" si="4"/>
        <v>0</v>
      </c>
      <c r="R29" s="652"/>
      <c r="S29" s="1371"/>
      <c r="T29" s="1372"/>
      <c r="U29" s="1372"/>
      <c r="V29" s="1373"/>
      <c r="W29" s="33"/>
    </row>
    <row r="30" spans="1:23" ht="13.5" customHeight="1">
      <c r="A30" s="33"/>
      <c r="B30" s="644">
        <f t="shared" si="5"/>
        <v>18</v>
      </c>
      <c r="C30" s="647"/>
      <c r="D30" s="650"/>
      <c r="E30" s="647"/>
      <c r="F30" s="647"/>
      <c r="G30" s="647"/>
      <c r="H30" s="648"/>
      <c r="I30" s="648"/>
      <c r="J30" s="649"/>
      <c r="K30" s="611"/>
      <c r="L30" s="647"/>
      <c r="M30" s="650"/>
      <c r="N30" s="647"/>
      <c r="O30" s="647"/>
      <c r="P30" s="651"/>
      <c r="Q30" s="651"/>
      <c r="R30" s="652"/>
      <c r="S30" s="1371"/>
      <c r="T30" s="1372"/>
      <c r="U30" s="1372"/>
      <c r="V30" s="1373"/>
      <c r="W30" s="33"/>
    </row>
    <row r="31" spans="1:23" ht="13.5" customHeight="1">
      <c r="A31" s="33"/>
      <c r="B31" s="644">
        <f t="shared" si="5"/>
        <v>19</v>
      </c>
      <c r="C31" s="647"/>
      <c r="D31" s="650"/>
      <c r="E31" s="694"/>
      <c r="F31" s="647">
        <v>0</v>
      </c>
      <c r="G31" s="647">
        <v>0</v>
      </c>
      <c r="H31" s="648">
        <f t="shared" si="0"/>
        <v>0</v>
      </c>
      <c r="I31" s="648">
        <f t="shared" si="1"/>
        <v>0</v>
      </c>
      <c r="J31" s="649">
        <f t="shared" si="2"/>
        <v>0</v>
      </c>
      <c r="K31" s="611"/>
      <c r="L31" s="645" t="s">
        <v>488</v>
      </c>
      <c r="M31" s="646"/>
      <c r="N31" s="647">
        <v>65</v>
      </c>
      <c r="O31" s="647">
        <v>15.6</v>
      </c>
      <c r="P31" s="651">
        <f t="shared" si="3"/>
        <v>0</v>
      </c>
      <c r="Q31" s="651">
        <f t="shared" si="4"/>
        <v>0</v>
      </c>
      <c r="R31" s="652"/>
      <c r="S31" s="1371"/>
      <c r="T31" s="1372"/>
      <c r="U31" s="1372"/>
      <c r="V31" s="1373"/>
      <c r="W31" s="33"/>
    </row>
    <row r="32" spans="1:23" ht="13.5" customHeight="1">
      <c r="A32" s="33"/>
      <c r="B32" s="644">
        <f t="shared" si="5"/>
        <v>20</v>
      </c>
      <c r="C32" s="647" t="s">
        <v>437</v>
      </c>
      <c r="D32" s="650"/>
      <c r="E32" s="694">
        <v>0.2</v>
      </c>
      <c r="F32" s="647">
        <v>280</v>
      </c>
      <c r="G32" s="647">
        <v>28</v>
      </c>
      <c r="H32" s="648">
        <f t="shared" si="0"/>
        <v>0</v>
      </c>
      <c r="I32" s="648">
        <f t="shared" si="1"/>
        <v>0</v>
      </c>
      <c r="J32" s="649">
        <f t="shared" si="2"/>
        <v>0</v>
      </c>
      <c r="K32" s="611"/>
      <c r="L32" s="645" t="s">
        <v>489</v>
      </c>
      <c r="M32" s="646"/>
      <c r="N32" s="647">
        <v>65</v>
      </c>
      <c r="O32" s="647">
        <v>15.6</v>
      </c>
      <c r="P32" s="651">
        <f t="shared" si="3"/>
        <v>0</v>
      </c>
      <c r="Q32" s="651">
        <f t="shared" si="4"/>
        <v>0</v>
      </c>
      <c r="R32" s="652"/>
      <c r="S32" s="1371"/>
      <c r="T32" s="1372"/>
      <c r="U32" s="1372"/>
      <c r="V32" s="1373"/>
      <c r="W32" s="33"/>
    </row>
    <row r="33" spans="1:23" ht="13.5" customHeight="1">
      <c r="A33" s="33"/>
      <c r="B33" s="644">
        <f t="shared" si="5"/>
        <v>21</v>
      </c>
      <c r="C33" s="647" t="s">
        <v>438</v>
      </c>
      <c r="D33" s="650">
        <v>1</v>
      </c>
      <c r="E33" s="694">
        <v>0.24</v>
      </c>
      <c r="F33" s="647">
        <v>300</v>
      </c>
      <c r="G33" s="647">
        <v>36</v>
      </c>
      <c r="H33" s="648">
        <f t="shared" si="0"/>
        <v>0.6</v>
      </c>
      <c r="I33" s="648">
        <f t="shared" si="1"/>
        <v>75</v>
      </c>
      <c r="J33" s="649">
        <f t="shared" si="2"/>
        <v>9</v>
      </c>
      <c r="K33" s="611"/>
      <c r="L33" s="647" t="s">
        <v>490</v>
      </c>
      <c r="M33" s="650"/>
      <c r="N33" s="647">
        <v>268</v>
      </c>
      <c r="O33" s="647">
        <v>70</v>
      </c>
      <c r="P33" s="651">
        <f t="shared" si="3"/>
        <v>0</v>
      </c>
      <c r="Q33" s="651">
        <f t="shared" si="4"/>
        <v>0</v>
      </c>
      <c r="R33" s="652"/>
      <c r="S33" s="1371"/>
      <c r="T33" s="1372"/>
      <c r="U33" s="1372"/>
      <c r="V33" s="1373"/>
      <c r="W33" s="33"/>
    </row>
    <row r="34" spans="1:23" ht="13.5" customHeight="1">
      <c r="A34" s="33"/>
      <c r="B34" s="644">
        <f t="shared" si="5"/>
        <v>22</v>
      </c>
      <c r="C34" s="647" t="s">
        <v>439</v>
      </c>
      <c r="D34" s="650"/>
      <c r="E34" s="694">
        <v>0.24</v>
      </c>
      <c r="F34" s="647">
        <v>400</v>
      </c>
      <c r="G34" s="647">
        <v>60</v>
      </c>
      <c r="H34" s="648">
        <f t="shared" si="0"/>
        <v>0</v>
      </c>
      <c r="I34" s="648">
        <f t="shared" si="1"/>
        <v>0</v>
      </c>
      <c r="J34" s="649">
        <f t="shared" si="2"/>
        <v>0</v>
      </c>
      <c r="K34" s="611"/>
      <c r="L34" s="645"/>
      <c r="M34" s="646"/>
      <c r="N34" s="647">
        <v>0</v>
      </c>
      <c r="O34" s="647">
        <v>0</v>
      </c>
      <c r="P34" s="651">
        <f t="shared" si="3"/>
        <v>0</v>
      </c>
      <c r="Q34" s="651">
        <f t="shared" si="4"/>
        <v>0</v>
      </c>
      <c r="R34" s="652"/>
      <c r="S34" s="1371"/>
      <c r="T34" s="1372"/>
      <c r="U34" s="1372"/>
      <c r="V34" s="1373"/>
      <c r="W34" s="33"/>
    </row>
    <row r="35" spans="1:23" ht="13.5" customHeight="1">
      <c r="A35" s="33"/>
      <c r="B35" s="644">
        <f t="shared" si="5"/>
        <v>23</v>
      </c>
      <c r="C35" s="647" t="s">
        <v>440</v>
      </c>
      <c r="D35" s="650"/>
      <c r="E35" s="694">
        <v>0.15</v>
      </c>
      <c r="F35" s="647">
        <v>320</v>
      </c>
      <c r="G35" s="647">
        <v>44</v>
      </c>
      <c r="H35" s="648">
        <f t="shared" si="0"/>
        <v>0</v>
      </c>
      <c r="I35" s="648">
        <f t="shared" si="1"/>
        <v>0</v>
      </c>
      <c r="J35" s="649">
        <f t="shared" si="2"/>
        <v>0</v>
      </c>
      <c r="K35" s="611"/>
      <c r="L35" s="645"/>
      <c r="M35" s="646"/>
      <c r="N35" s="647">
        <v>0</v>
      </c>
      <c r="O35" s="647">
        <v>0</v>
      </c>
      <c r="P35" s="651">
        <f t="shared" si="3"/>
        <v>0</v>
      </c>
      <c r="Q35" s="651">
        <f t="shared" si="4"/>
        <v>0</v>
      </c>
      <c r="R35" s="652"/>
      <c r="S35" s="1371"/>
      <c r="T35" s="1372"/>
      <c r="U35" s="1372"/>
      <c r="V35" s="1373"/>
      <c r="W35" s="33"/>
    </row>
    <row r="36" spans="1:23" ht="13.5" customHeight="1">
      <c r="A36" s="33"/>
      <c r="B36" s="644">
        <f t="shared" si="5"/>
        <v>24</v>
      </c>
      <c r="C36" s="647" t="s">
        <v>441</v>
      </c>
      <c r="D36" s="650"/>
      <c r="E36" s="694">
        <v>0.24</v>
      </c>
      <c r="F36" s="647">
        <v>360</v>
      </c>
      <c r="G36" s="647">
        <v>56</v>
      </c>
      <c r="H36" s="648">
        <f t="shared" si="0"/>
        <v>0</v>
      </c>
      <c r="I36" s="648">
        <f t="shared" si="1"/>
        <v>0</v>
      </c>
      <c r="J36" s="649">
        <f t="shared" si="2"/>
        <v>0</v>
      </c>
      <c r="K36" s="611"/>
      <c r="L36" s="645"/>
      <c r="M36" s="646"/>
      <c r="N36" s="647">
        <v>0</v>
      </c>
      <c r="O36" s="647">
        <v>0</v>
      </c>
      <c r="P36" s="651">
        <f t="shared" si="3"/>
        <v>0</v>
      </c>
      <c r="Q36" s="651">
        <f t="shared" si="4"/>
        <v>0</v>
      </c>
      <c r="R36" s="652"/>
      <c r="S36" s="1371"/>
      <c r="T36" s="1372"/>
      <c r="U36" s="1372"/>
      <c r="V36" s="1373"/>
      <c r="W36" s="33"/>
    </row>
    <row r="37" spans="1:23" ht="13.5" customHeight="1">
      <c r="A37" s="33"/>
      <c r="B37" s="644">
        <f t="shared" si="5"/>
        <v>25</v>
      </c>
      <c r="C37" s="647"/>
      <c r="D37" s="650"/>
      <c r="E37" s="694"/>
      <c r="F37" s="647"/>
      <c r="G37" s="647"/>
      <c r="H37" s="648"/>
      <c r="I37" s="648"/>
      <c r="J37" s="649"/>
      <c r="K37" s="611"/>
      <c r="L37" s="645"/>
      <c r="M37" s="646"/>
      <c r="N37" s="647"/>
      <c r="O37" s="647"/>
      <c r="P37" s="651"/>
      <c r="Q37" s="651"/>
      <c r="R37" s="652"/>
      <c r="S37" s="1371"/>
      <c r="T37" s="1372"/>
      <c r="U37" s="1372"/>
      <c r="V37" s="1373"/>
      <c r="W37" s="33"/>
    </row>
    <row r="38" spans="1:23" ht="13.5" customHeight="1">
      <c r="A38" s="33"/>
      <c r="B38" s="644">
        <f t="shared" si="5"/>
        <v>26</v>
      </c>
      <c r="C38" s="647" t="s">
        <v>442</v>
      </c>
      <c r="D38" s="650"/>
      <c r="E38" s="694">
        <v>0.16</v>
      </c>
      <c r="F38" s="647">
        <v>400</v>
      </c>
      <c r="G38" s="647">
        <v>44</v>
      </c>
      <c r="H38" s="648">
        <f t="shared" si="0"/>
        <v>0</v>
      </c>
      <c r="I38" s="648">
        <f t="shared" si="1"/>
        <v>0</v>
      </c>
      <c r="J38" s="649">
        <f t="shared" si="2"/>
        <v>0</v>
      </c>
      <c r="K38" s="611"/>
      <c r="L38" s="645" t="s">
        <v>491</v>
      </c>
      <c r="M38" s="646"/>
      <c r="N38" s="647">
        <v>22</v>
      </c>
      <c r="O38" s="647">
        <v>6.7</v>
      </c>
      <c r="P38" s="651">
        <f t="shared" si="3"/>
        <v>0</v>
      </c>
      <c r="Q38" s="651">
        <f t="shared" si="4"/>
        <v>0</v>
      </c>
      <c r="R38" s="652"/>
      <c r="S38" s="1371"/>
      <c r="T38" s="1372"/>
      <c r="U38" s="1372"/>
      <c r="V38" s="1373"/>
      <c r="W38" s="33"/>
    </row>
    <row r="39" spans="1:23" ht="13.5" customHeight="1">
      <c r="A39" s="33"/>
      <c r="B39" s="644">
        <f t="shared" si="5"/>
        <v>27</v>
      </c>
      <c r="C39" s="647" t="s">
        <v>443</v>
      </c>
      <c r="D39" s="650"/>
      <c r="E39" s="694">
        <v>0.4</v>
      </c>
      <c r="F39" s="647">
        <v>400</v>
      </c>
      <c r="G39" s="647">
        <v>43.2</v>
      </c>
      <c r="H39" s="648">
        <f t="shared" si="0"/>
        <v>0</v>
      </c>
      <c r="I39" s="648">
        <f t="shared" si="1"/>
        <v>0</v>
      </c>
      <c r="J39" s="649">
        <f t="shared" si="2"/>
        <v>0</v>
      </c>
      <c r="K39" s="611"/>
      <c r="L39" s="645" t="s">
        <v>492</v>
      </c>
      <c r="M39" s="646"/>
      <c r="N39" s="647">
        <v>26</v>
      </c>
      <c r="O39" s="647">
        <v>8.9</v>
      </c>
      <c r="P39" s="651">
        <f t="shared" si="3"/>
        <v>0</v>
      </c>
      <c r="Q39" s="651">
        <f t="shared" si="4"/>
        <v>0</v>
      </c>
      <c r="R39" s="652"/>
      <c r="S39" s="1371"/>
      <c r="T39" s="1372"/>
      <c r="U39" s="1372"/>
      <c r="V39" s="1373"/>
      <c r="W39" s="33"/>
    </row>
    <row r="40" spans="1:23" ht="13.5" customHeight="1">
      <c r="A40" s="33"/>
      <c r="B40" s="644">
        <f t="shared" si="5"/>
        <v>28</v>
      </c>
      <c r="C40" s="647"/>
      <c r="D40" s="650"/>
      <c r="E40" s="694"/>
      <c r="F40" s="647">
        <v>0</v>
      </c>
      <c r="G40" s="647">
        <v>0</v>
      </c>
      <c r="H40" s="648">
        <f t="shared" si="0"/>
        <v>0</v>
      </c>
      <c r="I40" s="648">
        <f t="shared" si="1"/>
        <v>0</v>
      </c>
      <c r="J40" s="649">
        <f t="shared" si="2"/>
        <v>0</v>
      </c>
      <c r="K40" s="611"/>
      <c r="L40" s="647" t="s">
        <v>493</v>
      </c>
      <c r="M40" s="650"/>
      <c r="N40" s="647">
        <v>51</v>
      </c>
      <c r="O40" s="647">
        <v>13.5</v>
      </c>
      <c r="P40" s="651">
        <f t="shared" si="3"/>
        <v>0</v>
      </c>
      <c r="Q40" s="651">
        <f t="shared" si="4"/>
        <v>0</v>
      </c>
      <c r="R40" s="652"/>
      <c r="S40" s="1371"/>
      <c r="T40" s="1372"/>
      <c r="U40" s="1372"/>
      <c r="V40" s="1373"/>
      <c r="W40" s="33"/>
    </row>
    <row r="41" spans="1:23" ht="13.5" customHeight="1">
      <c r="A41" s="33"/>
      <c r="B41" s="644">
        <f t="shared" si="5"/>
        <v>29</v>
      </c>
      <c r="C41" s="647"/>
      <c r="D41" s="650"/>
      <c r="E41" s="694"/>
      <c r="F41" s="647"/>
      <c r="G41" s="647"/>
      <c r="H41" s="648"/>
      <c r="I41" s="648"/>
      <c r="J41" s="649"/>
      <c r="K41" s="611"/>
      <c r="L41" s="647"/>
      <c r="M41" s="650"/>
      <c r="N41" s="647"/>
      <c r="O41" s="647"/>
      <c r="P41" s="651"/>
      <c r="Q41" s="651"/>
      <c r="R41" s="652"/>
      <c r="S41" s="1371"/>
      <c r="T41" s="1372"/>
      <c r="U41" s="1372"/>
      <c r="V41" s="1373"/>
      <c r="W41" s="33"/>
    </row>
    <row r="42" spans="2:23" ht="13.5" customHeight="1">
      <c r="B42" s="644">
        <f t="shared" si="5"/>
        <v>30</v>
      </c>
      <c r="C42" s="647" t="s">
        <v>444</v>
      </c>
      <c r="D42" s="650"/>
      <c r="E42" s="694">
        <v>0.28</v>
      </c>
      <c r="F42" s="647">
        <v>424</v>
      </c>
      <c r="G42" s="647">
        <v>66</v>
      </c>
      <c r="H42" s="648">
        <f t="shared" si="0"/>
        <v>0</v>
      </c>
      <c r="I42" s="648">
        <f t="shared" si="1"/>
        <v>0</v>
      </c>
      <c r="J42" s="649">
        <f t="shared" si="2"/>
        <v>0</v>
      </c>
      <c r="K42" s="611"/>
      <c r="L42" s="647" t="s">
        <v>494</v>
      </c>
      <c r="M42" s="650"/>
      <c r="N42" s="647">
        <v>46</v>
      </c>
      <c r="O42" s="647">
        <v>9.1</v>
      </c>
      <c r="P42" s="651">
        <f t="shared" si="3"/>
        <v>0</v>
      </c>
      <c r="Q42" s="651">
        <f t="shared" si="4"/>
        <v>0</v>
      </c>
      <c r="R42" s="652"/>
      <c r="S42" s="1371"/>
      <c r="T42" s="1372"/>
      <c r="U42" s="1372"/>
      <c r="V42" s="1373"/>
      <c r="W42" s="33"/>
    </row>
    <row r="43" spans="1:23" ht="13.5" customHeight="1">
      <c r="A43" s="33"/>
      <c r="B43" s="644">
        <f t="shared" si="5"/>
        <v>31</v>
      </c>
      <c r="C43" s="647" t="s">
        <v>445</v>
      </c>
      <c r="D43" s="650"/>
      <c r="E43" s="694">
        <v>0.28</v>
      </c>
      <c r="F43" s="647">
        <v>256</v>
      </c>
      <c r="G43" s="647">
        <v>39.2</v>
      </c>
      <c r="H43" s="648">
        <f t="shared" si="0"/>
        <v>0</v>
      </c>
      <c r="I43" s="648">
        <f t="shared" si="1"/>
        <v>0</v>
      </c>
      <c r="J43" s="649">
        <f t="shared" si="2"/>
        <v>0</v>
      </c>
      <c r="K43" s="611"/>
      <c r="L43" s="645" t="s">
        <v>495</v>
      </c>
      <c r="M43" s="650"/>
      <c r="N43" s="647">
        <v>22</v>
      </c>
      <c r="O43" s="647">
        <v>7</v>
      </c>
      <c r="P43" s="651">
        <f t="shared" si="3"/>
        <v>0</v>
      </c>
      <c r="Q43" s="651">
        <f t="shared" si="4"/>
        <v>0</v>
      </c>
      <c r="R43" s="652"/>
      <c r="S43" s="1371"/>
      <c r="T43" s="1372"/>
      <c r="U43" s="1372"/>
      <c r="V43" s="1373"/>
      <c r="W43" s="33"/>
    </row>
    <row r="44" spans="1:23" ht="13.5" customHeight="1">
      <c r="A44" s="33"/>
      <c r="B44" s="644">
        <f t="shared" si="5"/>
        <v>32</v>
      </c>
      <c r="C44" s="647"/>
      <c r="D44" s="650"/>
      <c r="E44" s="694"/>
      <c r="F44" s="647">
        <v>0</v>
      </c>
      <c r="G44" s="647">
        <v>0</v>
      </c>
      <c r="H44" s="648">
        <f t="shared" si="0"/>
        <v>0</v>
      </c>
      <c r="I44" s="648">
        <f t="shared" si="1"/>
        <v>0</v>
      </c>
      <c r="J44" s="649">
        <f t="shared" si="2"/>
        <v>0</v>
      </c>
      <c r="K44" s="611"/>
      <c r="L44" s="645" t="s">
        <v>496</v>
      </c>
      <c r="M44" s="650"/>
      <c r="N44" s="647">
        <v>26</v>
      </c>
      <c r="O44" s="647">
        <v>8.8</v>
      </c>
      <c r="P44" s="651">
        <f t="shared" si="3"/>
        <v>0</v>
      </c>
      <c r="Q44" s="651">
        <f t="shared" si="4"/>
        <v>0</v>
      </c>
      <c r="R44" s="652"/>
      <c r="S44" s="1371"/>
      <c r="T44" s="1372"/>
      <c r="U44" s="1372"/>
      <c r="V44" s="1373"/>
      <c r="W44" s="33"/>
    </row>
    <row r="45" spans="1:23" ht="13.5" customHeight="1">
      <c r="A45" s="33"/>
      <c r="B45" s="644">
        <f t="shared" si="5"/>
        <v>33</v>
      </c>
      <c r="C45" s="647" t="s">
        <v>446</v>
      </c>
      <c r="D45" s="650"/>
      <c r="E45" s="694">
        <v>0.18</v>
      </c>
      <c r="F45" s="647">
        <v>400</v>
      </c>
      <c r="G45" s="647">
        <v>44</v>
      </c>
      <c r="H45" s="648">
        <f t="shared" si="0"/>
        <v>0</v>
      </c>
      <c r="I45" s="648">
        <f t="shared" si="1"/>
        <v>0</v>
      </c>
      <c r="J45" s="649">
        <f t="shared" si="2"/>
        <v>0</v>
      </c>
      <c r="K45" s="611"/>
      <c r="L45" s="645"/>
      <c r="M45" s="650"/>
      <c r="N45" s="647">
        <v>0</v>
      </c>
      <c r="O45" s="647">
        <v>0</v>
      </c>
      <c r="P45" s="651">
        <f t="shared" si="3"/>
        <v>0</v>
      </c>
      <c r="Q45" s="651">
        <f t="shared" si="4"/>
        <v>0</v>
      </c>
      <c r="R45" s="652"/>
      <c r="S45" s="1371"/>
      <c r="T45" s="1372"/>
      <c r="U45" s="1372"/>
      <c r="V45" s="1373"/>
      <c r="W45" s="33"/>
    </row>
    <row r="46" spans="1:23" ht="13.5" customHeight="1">
      <c r="A46" s="33"/>
      <c r="B46" s="644">
        <f t="shared" si="5"/>
        <v>34</v>
      </c>
      <c r="C46" s="647" t="s">
        <v>447</v>
      </c>
      <c r="D46" s="650"/>
      <c r="E46" s="694">
        <v>0.4</v>
      </c>
      <c r="F46" s="647">
        <v>332</v>
      </c>
      <c r="G46" s="647">
        <v>26.8</v>
      </c>
      <c r="H46" s="648">
        <f t="shared" si="0"/>
        <v>0</v>
      </c>
      <c r="I46" s="648">
        <f t="shared" si="1"/>
        <v>0</v>
      </c>
      <c r="J46" s="649">
        <f t="shared" si="2"/>
        <v>0</v>
      </c>
      <c r="K46" s="611"/>
      <c r="L46" s="647" t="s">
        <v>497</v>
      </c>
      <c r="M46" s="650"/>
      <c r="N46" s="647">
        <v>50</v>
      </c>
      <c r="O46" s="647">
        <v>5</v>
      </c>
      <c r="P46" s="651">
        <f t="shared" si="3"/>
        <v>0</v>
      </c>
      <c r="Q46" s="651">
        <f t="shared" si="4"/>
        <v>0</v>
      </c>
      <c r="R46" s="652"/>
      <c r="S46" s="1371"/>
      <c r="T46" s="1372"/>
      <c r="U46" s="1372"/>
      <c r="V46" s="1373"/>
      <c r="W46" s="33"/>
    </row>
    <row r="47" spans="1:23" ht="13.5" customHeight="1">
      <c r="A47" s="33"/>
      <c r="B47" s="644">
        <f t="shared" si="5"/>
        <v>35</v>
      </c>
      <c r="C47" s="647" t="s">
        <v>448</v>
      </c>
      <c r="D47" s="650"/>
      <c r="E47" s="694">
        <v>0.4</v>
      </c>
      <c r="F47" s="647">
        <v>216</v>
      </c>
      <c r="G47" s="647">
        <v>0</v>
      </c>
      <c r="H47" s="648">
        <f t="shared" si="0"/>
        <v>0</v>
      </c>
      <c r="I47" s="648">
        <f t="shared" si="1"/>
        <v>0</v>
      </c>
      <c r="J47" s="649">
        <f t="shared" si="2"/>
        <v>0</v>
      </c>
      <c r="K47" s="611"/>
      <c r="L47" s="647"/>
      <c r="M47" s="650"/>
      <c r="N47" s="647">
        <v>0</v>
      </c>
      <c r="O47" s="647">
        <v>0</v>
      </c>
      <c r="P47" s="651">
        <f t="shared" si="3"/>
        <v>0</v>
      </c>
      <c r="Q47" s="651">
        <f t="shared" si="4"/>
        <v>0</v>
      </c>
      <c r="R47" s="652"/>
      <c r="S47" s="1371"/>
      <c r="T47" s="1372"/>
      <c r="U47" s="1372"/>
      <c r="V47" s="1373"/>
      <c r="W47" s="33"/>
    </row>
    <row r="48" spans="1:23" ht="13.5" customHeight="1">
      <c r="A48" s="33"/>
      <c r="B48" s="644">
        <f t="shared" si="5"/>
        <v>36</v>
      </c>
      <c r="C48" s="647"/>
      <c r="D48" s="650"/>
      <c r="E48" s="694"/>
      <c r="F48" s="647">
        <v>0</v>
      </c>
      <c r="G48" s="647">
        <v>0</v>
      </c>
      <c r="H48" s="648">
        <f aca="true" t="shared" si="6" ref="H48:H69">100*D48*E48/40</f>
        <v>0</v>
      </c>
      <c r="I48" s="648">
        <f aca="true" t="shared" si="7" ref="I48:I69">$D48*F48*25/100</f>
        <v>0</v>
      </c>
      <c r="J48" s="649">
        <f aca="true" t="shared" si="8" ref="J48:J69">$D48*G48*25/100</f>
        <v>0</v>
      </c>
      <c r="K48" s="611"/>
      <c r="L48" s="645" t="s">
        <v>498</v>
      </c>
      <c r="M48" s="650"/>
      <c r="N48" s="647">
        <v>44</v>
      </c>
      <c r="O48" s="647">
        <v>10.3</v>
      </c>
      <c r="P48" s="651">
        <f aca="true" t="shared" si="9" ref="P48:P69">$M48*N48*25/100</f>
        <v>0</v>
      </c>
      <c r="Q48" s="651">
        <f aca="true" t="shared" si="10" ref="Q48:Q69">$M48*O48*25/100</f>
        <v>0</v>
      </c>
      <c r="R48" s="652"/>
      <c r="S48" s="1371"/>
      <c r="T48" s="1372"/>
      <c r="U48" s="1372"/>
      <c r="V48" s="1373"/>
      <c r="W48" s="33"/>
    </row>
    <row r="49" spans="1:23" ht="13.5" customHeight="1">
      <c r="A49" s="33"/>
      <c r="B49" s="644">
        <f aca="true" t="shared" si="11" ref="B49:B78">B48+1</f>
        <v>37</v>
      </c>
      <c r="C49" s="647" t="s">
        <v>449</v>
      </c>
      <c r="D49" s="650"/>
      <c r="E49" s="694">
        <v>0.4</v>
      </c>
      <c r="F49" s="647">
        <v>264</v>
      </c>
      <c r="G49" s="654">
        <v>0</v>
      </c>
      <c r="H49" s="648">
        <f t="shared" si="6"/>
        <v>0</v>
      </c>
      <c r="I49" s="648">
        <f t="shared" si="7"/>
        <v>0</v>
      </c>
      <c r="J49" s="649">
        <f t="shared" si="8"/>
        <v>0</v>
      </c>
      <c r="K49" s="611"/>
      <c r="L49" s="645" t="s">
        <v>499</v>
      </c>
      <c r="M49" s="650"/>
      <c r="N49" s="647">
        <v>47</v>
      </c>
      <c r="O49" s="647">
        <v>10.9</v>
      </c>
      <c r="P49" s="651">
        <f t="shared" si="9"/>
        <v>0</v>
      </c>
      <c r="Q49" s="651">
        <f t="shared" si="10"/>
        <v>0</v>
      </c>
      <c r="R49" s="652"/>
      <c r="S49" s="1371"/>
      <c r="T49" s="1372"/>
      <c r="U49" s="1372"/>
      <c r="V49" s="1373"/>
      <c r="W49" s="33"/>
    </row>
    <row r="50" spans="1:23" ht="13.5" customHeight="1">
      <c r="A50" s="33"/>
      <c r="B50" s="644">
        <f t="shared" si="11"/>
        <v>38</v>
      </c>
      <c r="C50" s="647" t="s">
        <v>450</v>
      </c>
      <c r="D50" s="650"/>
      <c r="E50" s="694">
        <v>0.21</v>
      </c>
      <c r="F50" s="647">
        <v>192</v>
      </c>
      <c r="G50" s="647">
        <v>20.4</v>
      </c>
      <c r="H50" s="648">
        <f t="shared" si="6"/>
        <v>0</v>
      </c>
      <c r="I50" s="648">
        <f t="shared" si="7"/>
        <v>0</v>
      </c>
      <c r="J50" s="649">
        <f t="shared" si="8"/>
        <v>0</v>
      </c>
      <c r="K50" s="611"/>
      <c r="L50" s="647" t="s">
        <v>500</v>
      </c>
      <c r="M50" s="650"/>
      <c r="N50" s="647">
        <v>63</v>
      </c>
      <c r="O50" s="647">
        <v>15.1</v>
      </c>
      <c r="P50" s="651">
        <f t="shared" si="9"/>
        <v>0</v>
      </c>
      <c r="Q50" s="651">
        <f t="shared" si="10"/>
        <v>0</v>
      </c>
      <c r="R50" s="652"/>
      <c r="S50" s="1371"/>
      <c r="T50" s="1372"/>
      <c r="U50" s="1372"/>
      <c r="V50" s="1373"/>
      <c r="W50" s="33"/>
    </row>
    <row r="51" spans="1:23" ht="13.5" customHeight="1">
      <c r="A51" s="33"/>
      <c r="B51" s="644">
        <f t="shared" si="11"/>
        <v>39</v>
      </c>
      <c r="C51" s="647" t="s">
        <v>451</v>
      </c>
      <c r="D51" s="650"/>
      <c r="E51" s="694">
        <v>0.25</v>
      </c>
      <c r="F51" s="647">
        <v>280</v>
      </c>
      <c r="G51" s="654">
        <v>35.6</v>
      </c>
      <c r="H51" s="648">
        <f t="shared" si="6"/>
        <v>0</v>
      </c>
      <c r="I51" s="648">
        <f t="shared" si="7"/>
        <v>0</v>
      </c>
      <c r="J51" s="649">
        <f t="shared" si="8"/>
        <v>0</v>
      </c>
      <c r="K51" s="611"/>
      <c r="L51" s="647" t="s">
        <v>500</v>
      </c>
      <c r="M51" s="650"/>
      <c r="N51" s="647">
        <v>63</v>
      </c>
      <c r="O51" s="647">
        <v>15.1</v>
      </c>
      <c r="P51" s="651">
        <f t="shared" si="9"/>
        <v>0</v>
      </c>
      <c r="Q51" s="651">
        <f t="shared" si="10"/>
        <v>0</v>
      </c>
      <c r="R51" s="652"/>
      <c r="S51" s="1371"/>
      <c r="T51" s="1372"/>
      <c r="U51" s="1372"/>
      <c r="V51" s="1373"/>
      <c r="W51" s="33"/>
    </row>
    <row r="52" spans="1:23" ht="13.5" customHeight="1">
      <c r="A52" s="33"/>
      <c r="B52" s="644">
        <f t="shared" si="11"/>
        <v>40</v>
      </c>
      <c r="C52" s="647" t="s">
        <v>452</v>
      </c>
      <c r="D52" s="650"/>
      <c r="E52" s="694">
        <v>0.18</v>
      </c>
      <c r="F52" s="647">
        <v>180</v>
      </c>
      <c r="G52" s="654">
        <v>16</v>
      </c>
      <c r="H52" s="648">
        <f t="shared" si="6"/>
        <v>0</v>
      </c>
      <c r="I52" s="648">
        <f t="shared" si="7"/>
        <v>0</v>
      </c>
      <c r="J52" s="649">
        <f t="shared" si="8"/>
        <v>0</v>
      </c>
      <c r="K52" s="611"/>
      <c r="L52" s="647" t="s">
        <v>501</v>
      </c>
      <c r="M52" s="650"/>
      <c r="N52" s="647">
        <v>74</v>
      </c>
      <c r="O52" s="647">
        <v>17.2</v>
      </c>
      <c r="P52" s="651">
        <f t="shared" si="9"/>
        <v>0</v>
      </c>
      <c r="Q52" s="651">
        <f t="shared" si="10"/>
        <v>0</v>
      </c>
      <c r="R52" s="652"/>
      <c r="S52" s="1371"/>
      <c r="T52" s="1372"/>
      <c r="U52" s="1372"/>
      <c r="V52" s="1373"/>
      <c r="W52" s="33"/>
    </row>
    <row r="53" spans="1:23" ht="13.5" customHeight="1">
      <c r="A53" s="33"/>
      <c r="B53" s="644">
        <f t="shared" si="11"/>
        <v>41</v>
      </c>
      <c r="C53" s="647"/>
      <c r="D53" s="650"/>
      <c r="E53" s="694"/>
      <c r="F53" s="647">
        <v>0</v>
      </c>
      <c r="G53" s="654">
        <v>0</v>
      </c>
      <c r="H53" s="648">
        <f t="shared" si="6"/>
        <v>0</v>
      </c>
      <c r="I53" s="648">
        <f t="shared" si="7"/>
        <v>0</v>
      </c>
      <c r="J53" s="649">
        <f t="shared" si="8"/>
        <v>0</v>
      </c>
      <c r="K53" s="611"/>
      <c r="L53" s="645" t="s">
        <v>502</v>
      </c>
      <c r="M53" s="650"/>
      <c r="N53" s="647">
        <v>110</v>
      </c>
      <c r="O53" s="647">
        <v>16</v>
      </c>
      <c r="P53" s="651">
        <f t="shared" si="9"/>
        <v>0</v>
      </c>
      <c r="Q53" s="651">
        <f t="shared" si="10"/>
        <v>0</v>
      </c>
      <c r="R53" s="652"/>
      <c r="S53" s="1371"/>
      <c r="T53" s="1372"/>
      <c r="U53" s="1372"/>
      <c r="V53" s="1373"/>
      <c r="W53" s="33"/>
    </row>
    <row r="54" spans="1:23" ht="13.5" customHeight="1">
      <c r="A54" s="33"/>
      <c r="B54" s="644">
        <f t="shared" si="11"/>
        <v>42</v>
      </c>
      <c r="C54" s="647" t="s">
        <v>453</v>
      </c>
      <c r="D54" s="650"/>
      <c r="E54" s="694">
        <v>0.24</v>
      </c>
      <c r="F54" s="647">
        <v>280</v>
      </c>
      <c r="G54" s="654">
        <v>28</v>
      </c>
      <c r="H54" s="648">
        <f t="shared" si="6"/>
        <v>0</v>
      </c>
      <c r="I54" s="648">
        <f t="shared" si="7"/>
        <v>0</v>
      </c>
      <c r="J54" s="649">
        <f t="shared" si="8"/>
        <v>0</v>
      </c>
      <c r="K54" s="611"/>
      <c r="L54" s="645" t="s">
        <v>503</v>
      </c>
      <c r="M54" s="650"/>
      <c r="N54" s="647">
        <v>48</v>
      </c>
      <c r="O54" s="647">
        <v>12</v>
      </c>
      <c r="P54" s="651">
        <f t="shared" si="9"/>
        <v>0</v>
      </c>
      <c r="Q54" s="651">
        <f t="shared" si="10"/>
        <v>0</v>
      </c>
      <c r="R54" s="652"/>
      <c r="S54" s="1371"/>
      <c r="T54" s="1372"/>
      <c r="U54" s="1372"/>
      <c r="V54" s="1373"/>
      <c r="W54" s="33"/>
    </row>
    <row r="55" spans="1:23" ht="13.5" customHeight="1">
      <c r="A55" s="33"/>
      <c r="B55" s="644">
        <f t="shared" si="11"/>
        <v>43</v>
      </c>
      <c r="C55" s="647" t="s">
        <v>454</v>
      </c>
      <c r="D55" s="650"/>
      <c r="E55" s="694">
        <v>0.23</v>
      </c>
      <c r="F55" s="647">
        <v>252</v>
      </c>
      <c r="G55" s="654">
        <v>28</v>
      </c>
      <c r="H55" s="648">
        <f t="shared" si="6"/>
        <v>0</v>
      </c>
      <c r="I55" s="648">
        <f t="shared" si="7"/>
        <v>0</v>
      </c>
      <c r="J55" s="649">
        <f t="shared" si="8"/>
        <v>0</v>
      </c>
      <c r="K55" s="611"/>
      <c r="L55" s="647" t="s">
        <v>504</v>
      </c>
      <c r="M55" s="650"/>
      <c r="N55" s="647">
        <v>58</v>
      </c>
      <c r="O55" s="647">
        <v>14.6</v>
      </c>
      <c r="P55" s="651">
        <f t="shared" si="9"/>
        <v>0</v>
      </c>
      <c r="Q55" s="651">
        <f t="shared" si="10"/>
        <v>0</v>
      </c>
      <c r="R55" s="652"/>
      <c r="S55" s="1371"/>
      <c r="T55" s="1372"/>
      <c r="U55" s="1372"/>
      <c r="V55" s="1373"/>
      <c r="W55" s="33"/>
    </row>
    <row r="56" spans="1:23" ht="13.5" customHeight="1">
      <c r="A56" s="33"/>
      <c r="B56" s="644">
        <f t="shared" si="11"/>
        <v>44</v>
      </c>
      <c r="C56" s="647" t="s">
        <v>455</v>
      </c>
      <c r="D56" s="650"/>
      <c r="E56" s="694">
        <v>0.25</v>
      </c>
      <c r="F56" s="647">
        <v>160</v>
      </c>
      <c r="G56" s="654">
        <v>16</v>
      </c>
      <c r="H56" s="648">
        <f t="shared" si="6"/>
        <v>0</v>
      </c>
      <c r="I56" s="648">
        <f t="shared" si="7"/>
        <v>0</v>
      </c>
      <c r="J56" s="649">
        <f t="shared" si="8"/>
        <v>0</v>
      </c>
      <c r="K56" s="611"/>
      <c r="L56" s="647"/>
      <c r="M56" s="650"/>
      <c r="N56" s="647">
        <v>0</v>
      </c>
      <c r="O56" s="647">
        <v>0</v>
      </c>
      <c r="P56" s="651">
        <f t="shared" si="9"/>
        <v>0</v>
      </c>
      <c r="Q56" s="651">
        <f t="shared" si="10"/>
        <v>0</v>
      </c>
      <c r="R56" s="652"/>
      <c r="S56" s="1371"/>
      <c r="T56" s="1372"/>
      <c r="U56" s="1372"/>
      <c r="V56" s="1373"/>
      <c r="W56" s="33"/>
    </row>
    <row r="57" spans="1:23" ht="13.5" customHeight="1">
      <c r="A57" s="33"/>
      <c r="B57" s="644">
        <f t="shared" si="11"/>
        <v>45</v>
      </c>
      <c r="C57" s="647" t="s">
        <v>456</v>
      </c>
      <c r="D57" s="650"/>
      <c r="E57" s="694">
        <v>0.2</v>
      </c>
      <c r="F57" s="647">
        <v>160</v>
      </c>
      <c r="G57" s="654">
        <v>12</v>
      </c>
      <c r="H57" s="648">
        <f t="shared" si="6"/>
        <v>0</v>
      </c>
      <c r="I57" s="648">
        <f t="shared" si="7"/>
        <v>0</v>
      </c>
      <c r="J57" s="649">
        <f t="shared" si="8"/>
        <v>0</v>
      </c>
      <c r="K57" s="611"/>
      <c r="L57" s="645"/>
      <c r="M57" s="650"/>
      <c r="N57" s="647">
        <v>0</v>
      </c>
      <c r="O57" s="647">
        <v>0</v>
      </c>
      <c r="P57" s="651">
        <f t="shared" si="9"/>
        <v>0</v>
      </c>
      <c r="Q57" s="651">
        <f t="shared" si="10"/>
        <v>0</v>
      </c>
      <c r="R57" s="652"/>
      <c r="S57" s="1371"/>
      <c r="T57" s="1372"/>
      <c r="U57" s="1372"/>
      <c r="V57" s="1373"/>
      <c r="W57" s="33"/>
    </row>
    <row r="58" spans="1:23" ht="13.5" customHeight="1">
      <c r="A58" s="33"/>
      <c r="B58" s="644">
        <f t="shared" si="11"/>
        <v>46</v>
      </c>
      <c r="C58" s="647" t="s">
        <v>457</v>
      </c>
      <c r="D58" s="650"/>
      <c r="E58" s="694">
        <v>0.4</v>
      </c>
      <c r="F58" s="647">
        <v>216</v>
      </c>
      <c r="G58" s="654">
        <v>0</v>
      </c>
      <c r="H58" s="648">
        <f t="shared" si="6"/>
        <v>0</v>
      </c>
      <c r="I58" s="648">
        <f t="shared" si="7"/>
        <v>0</v>
      </c>
      <c r="J58" s="649">
        <f t="shared" si="8"/>
        <v>0</v>
      </c>
      <c r="K58" s="611"/>
      <c r="L58" s="647" t="s">
        <v>505</v>
      </c>
      <c r="M58" s="650"/>
      <c r="N58" s="647">
        <v>0</v>
      </c>
      <c r="O58" s="647">
        <v>0</v>
      </c>
      <c r="P58" s="651">
        <f t="shared" si="9"/>
        <v>0</v>
      </c>
      <c r="Q58" s="651">
        <f t="shared" si="10"/>
        <v>0</v>
      </c>
      <c r="R58" s="652"/>
      <c r="S58" s="1371"/>
      <c r="T58" s="1372"/>
      <c r="U58" s="1372"/>
      <c r="V58" s="1373"/>
      <c r="W58" s="33"/>
    </row>
    <row r="59" spans="1:23" ht="13.5" customHeight="1">
      <c r="A59" s="33"/>
      <c r="B59" s="644">
        <f t="shared" si="11"/>
        <v>47</v>
      </c>
      <c r="C59" s="647"/>
      <c r="D59" s="650"/>
      <c r="E59" s="694"/>
      <c r="F59" s="647">
        <v>0</v>
      </c>
      <c r="G59" s="654">
        <v>0</v>
      </c>
      <c r="H59" s="648">
        <f t="shared" si="6"/>
        <v>0</v>
      </c>
      <c r="I59" s="648">
        <f t="shared" si="7"/>
        <v>0</v>
      </c>
      <c r="J59" s="649">
        <f t="shared" si="8"/>
        <v>0</v>
      </c>
      <c r="K59" s="611"/>
      <c r="L59" s="645" t="s">
        <v>506</v>
      </c>
      <c r="M59" s="650"/>
      <c r="N59" s="647">
        <v>160</v>
      </c>
      <c r="O59" s="647">
        <v>50</v>
      </c>
      <c r="P59" s="651">
        <f t="shared" si="9"/>
        <v>0</v>
      </c>
      <c r="Q59" s="651">
        <f t="shared" si="10"/>
        <v>0</v>
      </c>
      <c r="R59" s="652"/>
      <c r="S59" s="1371"/>
      <c r="T59" s="1372"/>
      <c r="U59" s="1372"/>
      <c r="V59" s="1373"/>
      <c r="W59" s="33"/>
    </row>
    <row r="60" spans="1:23" ht="13.5" customHeight="1">
      <c r="A60" s="33"/>
      <c r="B60" s="644">
        <f t="shared" si="11"/>
        <v>48</v>
      </c>
      <c r="C60" s="647" t="s">
        <v>458</v>
      </c>
      <c r="D60" s="650"/>
      <c r="E60" s="694">
        <v>0.15</v>
      </c>
      <c r="F60" s="647">
        <v>144</v>
      </c>
      <c r="G60" s="654">
        <v>6</v>
      </c>
      <c r="H60" s="648">
        <f t="shared" si="6"/>
        <v>0</v>
      </c>
      <c r="I60" s="648">
        <f t="shared" si="7"/>
        <v>0</v>
      </c>
      <c r="J60" s="649">
        <f t="shared" si="8"/>
        <v>0</v>
      </c>
      <c r="K60" s="611"/>
      <c r="L60" s="645"/>
      <c r="M60" s="650"/>
      <c r="N60" s="647">
        <v>0</v>
      </c>
      <c r="O60" s="647">
        <v>0</v>
      </c>
      <c r="P60" s="651">
        <f t="shared" si="9"/>
        <v>0</v>
      </c>
      <c r="Q60" s="651">
        <f t="shared" si="10"/>
        <v>0</v>
      </c>
      <c r="R60" s="652"/>
      <c r="S60" s="1371"/>
      <c r="T60" s="1372"/>
      <c r="U60" s="1372"/>
      <c r="V60" s="1373"/>
      <c r="W60" s="33"/>
    </row>
    <row r="61" spans="1:23" ht="13.5" customHeight="1">
      <c r="A61" s="33"/>
      <c r="B61" s="644">
        <f t="shared" si="11"/>
        <v>49</v>
      </c>
      <c r="C61" s="647" t="s">
        <v>459</v>
      </c>
      <c r="D61" s="650"/>
      <c r="E61" s="694">
        <v>0.15</v>
      </c>
      <c r="F61" s="647">
        <v>112</v>
      </c>
      <c r="G61" s="654">
        <v>1</v>
      </c>
      <c r="H61" s="648">
        <f t="shared" si="6"/>
        <v>0</v>
      </c>
      <c r="I61" s="648">
        <f t="shared" si="7"/>
        <v>0</v>
      </c>
      <c r="J61" s="649">
        <f t="shared" si="8"/>
        <v>0</v>
      </c>
      <c r="K61" s="611"/>
      <c r="L61" s="647"/>
      <c r="M61" s="650"/>
      <c r="N61" s="647">
        <v>0</v>
      </c>
      <c r="O61" s="647">
        <v>0</v>
      </c>
      <c r="P61" s="651">
        <f t="shared" si="9"/>
        <v>0</v>
      </c>
      <c r="Q61" s="651">
        <f t="shared" si="10"/>
        <v>0</v>
      </c>
      <c r="R61" s="652"/>
      <c r="S61" s="1371"/>
      <c r="T61" s="1372"/>
      <c r="U61" s="1372"/>
      <c r="V61" s="1373"/>
      <c r="W61" s="33"/>
    </row>
    <row r="62" spans="1:23" ht="13.5" customHeight="1">
      <c r="A62" s="33"/>
      <c r="B62" s="644">
        <f t="shared" si="11"/>
        <v>50</v>
      </c>
      <c r="C62" s="647" t="s">
        <v>460</v>
      </c>
      <c r="D62" s="650"/>
      <c r="E62" s="694">
        <v>0.15</v>
      </c>
      <c r="F62" s="647">
        <v>112</v>
      </c>
      <c r="G62" s="654">
        <v>5</v>
      </c>
      <c r="H62" s="648">
        <f t="shared" si="6"/>
        <v>0</v>
      </c>
      <c r="I62" s="648">
        <f t="shared" si="7"/>
        <v>0</v>
      </c>
      <c r="J62" s="649">
        <f t="shared" si="8"/>
        <v>0</v>
      </c>
      <c r="K62" s="611"/>
      <c r="L62" s="645" t="s">
        <v>507</v>
      </c>
      <c r="M62" s="650"/>
      <c r="N62" s="647">
        <v>21</v>
      </c>
      <c r="O62" s="647">
        <v>4</v>
      </c>
      <c r="P62" s="651">
        <f t="shared" si="9"/>
        <v>0</v>
      </c>
      <c r="Q62" s="651">
        <f t="shared" si="10"/>
        <v>0</v>
      </c>
      <c r="R62" s="652"/>
      <c r="S62" s="1371"/>
      <c r="T62" s="1372"/>
      <c r="U62" s="1372"/>
      <c r="V62" s="1373"/>
      <c r="W62" s="33"/>
    </row>
    <row r="63" spans="1:23" ht="13.5" customHeight="1">
      <c r="A63" s="33"/>
      <c r="B63" s="644">
        <f t="shared" si="11"/>
        <v>51</v>
      </c>
      <c r="C63" s="647" t="s">
        <v>461</v>
      </c>
      <c r="D63" s="650"/>
      <c r="E63" s="694">
        <v>0.25</v>
      </c>
      <c r="F63" s="647">
        <v>320</v>
      </c>
      <c r="G63" s="654">
        <v>0</v>
      </c>
      <c r="H63" s="648">
        <f t="shared" si="6"/>
        <v>0</v>
      </c>
      <c r="I63" s="648">
        <f t="shared" si="7"/>
        <v>0</v>
      </c>
      <c r="J63" s="649">
        <f t="shared" si="8"/>
        <v>0</v>
      </c>
      <c r="K63" s="611"/>
      <c r="L63" s="647" t="s">
        <v>508</v>
      </c>
      <c r="M63" s="650"/>
      <c r="N63" s="647">
        <v>38</v>
      </c>
      <c r="O63" s="647">
        <v>10.1</v>
      </c>
      <c r="P63" s="651">
        <f t="shared" si="9"/>
        <v>0</v>
      </c>
      <c r="Q63" s="651">
        <f t="shared" si="10"/>
        <v>0</v>
      </c>
      <c r="R63" s="652"/>
      <c r="S63" s="1371"/>
      <c r="T63" s="1372"/>
      <c r="U63" s="1372"/>
      <c r="V63" s="1373"/>
      <c r="W63" s="33"/>
    </row>
    <row r="64" spans="1:23" ht="13.5" customHeight="1">
      <c r="A64" s="33"/>
      <c r="B64" s="644">
        <f t="shared" si="11"/>
        <v>52</v>
      </c>
      <c r="C64" s="647" t="s">
        <v>462</v>
      </c>
      <c r="D64" s="650"/>
      <c r="E64" s="694">
        <v>0.115</v>
      </c>
      <c r="F64" s="647">
        <v>80</v>
      </c>
      <c r="G64" s="654">
        <v>1.2</v>
      </c>
      <c r="H64" s="648">
        <f t="shared" si="6"/>
        <v>0</v>
      </c>
      <c r="I64" s="648">
        <f t="shared" si="7"/>
        <v>0</v>
      </c>
      <c r="J64" s="649">
        <f t="shared" si="8"/>
        <v>0</v>
      </c>
      <c r="K64" s="611"/>
      <c r="L64" s="647"/>
      <c r="M64" s="650"/>
      <c r="N64" s="647">
        <v>0</v>
      </c>
      <c r="O64" s="647">
        <v>0</v>
      </c>
      <c r="P64" s="651">
        <f t="shared" si="9"/>
        <v>0</v>
      </c>
      <c r="Q64" s="651">
        <f t="shared" si="10"/>
        <v>0</v>
      </c>
      <c r="R64" s="652"/>
      <c r="S64" s="1371"/>
      <c r="T64" s="1372"/>
      <c r="U64" s="1372"/>
      <c r="V64" s="1373"/>
      <c r="W64" s="33"/>
    </row>
    <row r="65" spans="1:23" ht="13.5" customHeight="1">
      <c r="A65" s="33"/>
      <c r="B65" s="644">
        <f t="shared" si="11"/>
        <v>53</v>
      </c>
      <c r="C65" s="647"/>
      <c r="D65" s="650"/>
      <c r="E65" s="694"/>
      <c r="F65" s="647"/>
      <c r="G65" s="654"/>
      <c r="H65" s="648"/>
      <c r="I65" s="648"/>
      <c r="J65" s="649"/>
      <c r="K65" s="611"/>
      <c r="L65" s="647"/>
      <c r="M65" s="650"/>
      <c r="N65" s="647"/>
      <c r="O65" s="647"/>
      <c r="P65" s="651"/>
      <c r="Q65" s="651"/>
      <c r="R65" s="652"/>
      <c r="S65" s="1371"/>
      <c r="T65" s="1372"/>
      <c r="U65" s="1372"/>
      <c r="V65" s="1373"/>
      <c r="W65" s="33"/>
    </row>
    <row r="66" spans="1:23" ht="13.5" customHeight="1">
      <c r="A66" s="33"/>
      <c r="B66" s="644">
        <f t="shared" si="11"/>
        <v>54</v>
      </c>
      <c r="C66" s="647" t="s">
        <v>463</v>
      </c>
      <c r="D66" s="650"/>
      <c r="E66" s="694">
        <v>0.4</v>
      </c>
      <c r="F66" s="647">
        <v>216</v>
      </c>
      <c r="G66" s="654">
        <v>0</v>
      </c>
      <c r="H66" s="648">
        <f t="shared" si="6"/>
        <v>0</v>
      </c>
      <c r="I66" s="648">
        <f t="shared" si="7"/>
        <v>0</v>
      </c>
      <c r="J66" s="649">
        <f t="shared" si="8"/>
        <v>0</v>
      </c>
      <c r="K66" s="611"/>
      <c r="L66" s="647"/>
      <c r="M66" s="650"/>
      <c r="N66" s="647">
        <v>0</v>
      </c>
      <c r="O66" s="647">
        <v>0</v>
      </c>
      <c r="P66" s="651">
        <f t="shared" si="9"/>
        <v>0</v>
      </c>
      <c r="Q66" s="651">
        <f t="shared" si="10"/>
        <v>0</v>
      </c>
      <c r="R66" s="652"/>
      <c r="S66" s="1371"/>
      <c r="T66" s="1372"/>
      <c r="U66" s="1372"/>
      <c r="V66" s="1373"/>
      <c r="W66" s="33"/>
    </row>
    <row r="67" spans="1:23" ht="13.5" customHeight="1">
      <c r="A67" s="33"/>
      <c r="B67" s="644">
        <f t="shared" si="11"/>
        <v>55</v>
      </c>
      <c r="C67" s="647" t="s">
        <v>464</v>
      </c>
      <c r="D67" s="650"/>
      <c r="E67" s="694">
        <v>0.2</v>
      </c>
      <c r="F67" s="647">
        <v>360</v>
      </c>
      <c r="G67" s="654">
        <v>40</v>
      </c>
      <c r="H67" s="648">
        <f t="shared" si="6"/>
        <v>0</v>
      </c>
      <c r="I67" s="648">
        <f t="shared" si="7"/>
        <v>0</v>
      </c>
      <c r="J67" s="649">
        <f t="shared" si="8"/>
        <v>0</v>
      </c>
      <c r="K67" s="611"/>
      <c r="L67" s="647" t="s">
        <v>509</v>
      </c>
      <c r="M67" s="650"/>
      <c r="N67" s="647">
        <v>100</v>
      </c>
      <c r="O67" s="647">
        <v>20</v>
      </c>
      <c r="P67" s="651">
        <f t="shared" si="9"/>
        <v>0</v>
      </c>
      <c r="Q67" s="651">
        <f t="shared" si="10"/>
        <v>0</v>
      </c>
      <c r="R67" s="652"/>
      <c r="S67" s="1371"/>
      <c r="T67" s="1372"/>
      <c r="U67" s="1372"/>
      <c r="V67" s="1373"/>
      <c r="W67" s="33"/>
    </row>
    <row r="68" spans="1:23" ht="13.5" customHeight="1">
      <c r="A68" s="33"/>
      <c r="B68" s="644">
        <f t="shared" si="11"/>
        <v>56</v>
      </c>
      <c r="C68" s="647" t="s">
        <v>465</v>
      </c>
      <c r="D68" s="650"/>
      <c r="E68" s="694">
        <v>0.15</v>
      </c>
      <c r="F68" s="647">
        <v>112</v>
      </c>
      <c r="G68" s="654">
        <v>0</v>
      </c>
      <c r="H68" s="648">
        <f t="shared" si="6"/>
        <v>0</v>
      </c>
      <c r="I68" s="648">
        <f t="shared" si="7"/>
        <v>0</v>
      </c>
      <c r="J68" s="649">
        <f t="shared" si="8"/>
        <v>0</v>
      </c>
      <c r="K68" s="611"/>
      <c r="L68" s="647"/>
      <c r="M68" s="650"/>
      <c r="N68" s="647">
        <v>0</v>
      </c>
      <c r="O68" s="647">
        <v>0</v>
      </c>
      <c r="P68" s="651">
        <f t="shared" si="9"/>
        <v>0</v>
      </c>
      <c r="Q68" s="651">
        <f t="shared" si="10"/>
        <v>0</v>
      </c>
      <c r="R68" s="652"/>
      <c r="S68" s="1371"/>
      <c r="T68" s="1372"/>
      <c r="U68" s="1372"/>
      <c r="V68" s="1373"/>
      <c r="W68" s="33"/>
    </row>
    <row r="69" spans="1:23" ht="13.5" customHeight="1">
      <c r="A69" s="33"/>
      <c r="B69" s="644">
        <f t="shared" si="11"/>
        <v>57</v>
      </c>
      <c r="C69" s="647"/>
      <c r="D69" s="650"/>
      <c r="E69" s="694"/>
      <c r="F69" s="647">
        <v>0</v>
      </c>
      <c r="G69" s="654">
        <v>0</v>
      </c>
      <c r="H69" s="648">
        <f t="shared" si="6"/>
        <v>0</v>
      </c>
      <c r="I69" s="648">
        <f t="shared" si="7"/>
        <v>0</v>
      </c>
      <c r="J69" s="649">
        <f t="shared" si="8"/>
        <v>0</v>
      </c>
      <c r="K69" s="611"/>
      <c r="L69" s="647"/>
      <c r="M69" s="650"/>
      <c r="N69" s="647">
        <v>0</v>
      </c>
      <c r="O69" s="647">
        <v>0</v>
      </c>
      <c r="P69" s="651">
        <f t="shared" si="9"/>
        <v>0</v>
      </c>
      <c r="Q69" s="651">
        <f t="shared" si="10"/>
        <v>0</v>
      </c>
      <c r="R69" s="652"/>
      <c r="S69" s="1371"/>
      <c r="T69" s="1372"/>
      <c r="U69" s="1372"/>
      <c r="V69" s="1373"/>
      <c r="W69" s="33"/>
    </row>
    <row r="70" spans="1:23" ht="13.5" customHeight="1">
      <c r="A70" s="33"/>
      <c r="B70" s="644">
        <f t="shared" si="11"/>
        <v>58</v>
      </c>
      <c r="C70" s="647"/>
      <c r="D70" s="650"/>
      <c r="E70" s="694"/>
      <c r="F70" s="647"/>
      <c r="G70" s="654"/>
      <c r="H70" s="648"/>
      <c r="I70" s="648"/>
      <c r="J70" s="649"/>
      <c r="K70" s="611"/>
      <c r="L70" s="647"/>
      <c r="M70" s="650"/>
      <c r="N70" s="647"/>
      <c r="O70" s="647"/>
      <c r="P70" s="651"/>
      <c r="Q70" s="651"/>
      <c r="R70" s="652"/>
      <c r="S70" s="1371"/>
      <c r="T70" s="1372"/>
      <c r="U70" s="1372"/>
      <c r="V70" s="1373"/>
      <c r="W70" s="33"/>
    </row>
    <row r="71" spans="1:23" ht="13.5" customHeight="1">
      <c r="A71" s="33"/>
      <c r="B71" s="644">
        <f t="shared" si="11"/>
        <v>59</v>
      </c>
      <c r="C71" s="647" t="s">
        <v>466</v>
      </c>
      <c r="D71" s="650"/>
      <c r="E71" s="694">
        <v>0.18</v>
      </c>
      <c r="F71" s="647">
        <v>112</v>
      </c>
      <c r="G71" s="654">
        <v>3</v>
      </c>
      <c r="H71" s="648">
        <f>100*D71*E71/40</f>
        <v>0</v>
      </c>
      <c r="I71" s="648">
        <f aca="true" t="shared" si="12" ref="I71:J75">$D71*F71*25/100</f>
        <v>0</v>
      </c>
      <c r="J71" s="649">
        <f t="shared" si="12"/>
        <v>0</v>
      </c>
      <c r="K71" s="611"/>
      <c r="L71" s="655" t="s">
        <v>510</v>
      </c>
      <c r="M71" s="656" t="s">
        <v>516</v>
      </c>
      <c r="N71" s="656" t="s">
        <v>474</v>
      </c>
      <c r="O71" s="656" t="s">
        <v>476</v>
      </c>
      <c r="P71" s="656" t="s">
        <v>476</v>
      </c>
      <c r="Q71" s="656" t="s">
        <v>476</v>
      </c>
      <c r="R71" s="656" t="s">
        <v>476</v>
      </c>
      <c r="S71" s="657" t="s">
        <v>521</v>
      </c>
      <c r="T71" s="1382"/>
      <c r="U71" s="1382"/>
      <c r="V71" s="1382"/>
      <c r="W71" s="33"/>
    </row>
    <row r="72" spans="1:23" ht="13.5" customHeight="1">
      <c r="A72" s="33"/>
      <c r="B72" s="644">
        <f t="shared" si="11"/>
        <v>60</v>
      </c>
      <c r="C72" s="647" t="s">
        <v>467</v>
      </c>
      <c r="D72" s="650">
        <v>1</v>
      </c>
      <c r="E72" s="694">
        <v>0.4</v>
      </c>
      <c r="F72" s="647">
        <v>228</v>
      </c>
      <c r="G72" s="654">
        <v>0</v>
      </c>
      <c r="H72" s="648">
        <f>100*D72*E72/40</f>
        <v>1</v>
      </c>
      <c r="I72" s="648">
        <f t="shared" si="12"/>
        <v>57</v>
      </c>
      <c r="J72" s="649">
        <f t="shared" si="12"/>
        <v>0</v>
      </c>
      <c r="K72" s="611"/>
      <c r="L72" s="647"/>
      <c r="M72" s="650"/>
      <c r="N72" s="647">
        <v>0</v>
      </c>
      <c r="O72" s="647">
        <v>0</v>
      </c>
      <c r="P72" s="651">
        <f aca="true" t="shared" si="13" ref="P72:Q75">$M72*N72*25/100</f>
        <v>0</v>
      </c>
      <c r="Q72" s="651">
        <f t="shared" si="13"/>
        <v>0</v>
      </c>
      <c r="R72" s="651">
        <f>M72*S72</f>
        <v>0</v>
      </c>
      <c r="S72" s="647"/>
      <c r="T72" s="1383"/>
      <c r="U72" s="1383"/>
      <c r="V72" s="1383"/>
      <c r="W72" s="33"/>
    </row>
    <row r="73" spans="1:23" ht="13.5" customHeight="1">
      <c r="A73" s="33"/>
      <c r="B73" s="644">
        <f t="shared" si="11"/>
        <v>61</v>
      </c>
      <c r="C73" s="647" t="s">
        <v>468</v>
      </c>
      <c r="D73" s="650"/>
      <c r="E73" s="694">
        <v>0.4</v>
      </c>
      <c r="F73" s="647">
        <v>216</v>
      </c>
      <c r="G73" s="654">
        <v>0</v>
      </c>
      <c r="H73" s="648">
        <f>100*D73*E73/40</f>
        <v>0</v>
      </c>
      <c r="I73" s="648">
        <f t="shared" si="12"/>
        <v>0</v>
      </c>
      <c r="J73" s="649">
        <f t="shared" si="12"/>
        <v>0</v>
      </c>
      <c r="K73" s="611"/>
      <c r="L73" s="647" t="s">
        <v>511</v>
      </c>
      <c r="M73" s="650"/>
      <c r="N73" s="647">
        <v>63</v>
      </c>
      <c r="O73" s="647">
        <v>0.003</v>
      </c>
      <c r="P73" s="651">
        <f t="shared" si="13"/>
        <v>0</v>
      </c>
      <c r="Q73" s="651">
        <f t="shared" si="13"/>
        <v>0</v>
      </c>
      <c r="R73" s="651">
        <f>M73*S73</f>
        <v>0</v>
      </c>
      <c r="S73" s="647">
        <v>50</v>
      </c>
      <c r="T73" s="1383"/>
      <c r="U73" s="1383"/>
      <c r="V73" s="1383"/>
      <c r="W73" s="33"/>
    </row>
    <row r="74" spans="1:23" ht="13.5" customHeight="1">
      <c r="A74" s="33"/>
      <c r="B74" s="644">
        <f t="shared" si="11"/>
        <v>62</v>
      </c>
      <c r="C74" s="647" t="s">
        <v>469</v>
      </c>
      <c r="D74" s="650"/>
      <c r="E74" s="694">
        <v>0.17</v>
      </c>
      <c r="F74" s="647">
        <v>160</v>
      </c>
      <c r="G74" s="654">
        <v>14</v>
      </c>
      <c r="H74" s="648">
        <f>100*D74*E74/40</f>
        <v>0</v>
      </c>
      <c r="I74" s="648">
        <f t="shared" si="12"/>
        <v>0</v>
      </c>
      <c r="J74" s="649">
        <f t="shared" si="12"/>
        <v>0</v>
      </c>
      <c r="K74" s="611"/>
      <c r="L74" s="647" t="s">
        <v>512</v>
      </c>
      <c r="M74" s="650"/>
      <c r="N74" s="647">
        <v>16</v>
      </c>
      <c r="O74" s="647">
        <v>0.002</v>
      </c>
      <c r="P74" s="651">
        <f t="shared" si="13"/>
        <v>0</v>
      </c>
      <c r="Q74" s="651">
        <f t="shared" si="13"/>
        <v>0</v>
      </c>
      <c r="R74" s="651">
        <f>M74*S74</f>
        <v>0</v>
      </c>
      <c r="S74" s="647">
        <v>30</v>
      </c>
      <c r="T74" s="1383"/>
      <c r="U74" s="1383"/>
      <c r="V74" s="1383"/>
      <c r="W74" s="33"/>
    </row>
    <row r="75" spans="1:23" ht="13.5" customHeight="1">
      <c r="A75" s="33"/>
      <c r="B75" s="644">
        <f t="shared" si="11"/>
        <v>63</v>
      </c>
      <c r="C75" s="647" t="s">
        <v>470</v>
      </c>
      <c r="D75" s="650"/>
      <c r="E75" s="694">
        <v>0.115</v>
      </c>
      <c r="F75" s="647">
        <v>82</v>
      </c>
      <c r="G75" s="654">
        <v>3</v>
      </c>
      <c r="H75" s="648">
        <f>100*D75*E75/40</f>
        <v>0</v>
      </c>
      <c r="I75" s="648">
        <f t="shared" si="12"/>
        <v>0</v>
      </c>
      <c r="J75" s="649">
        <f t="shared" si="12"/>
        <v>0</v>
      </c>
      <c r="K75" s="611"/>
      <c r="L75" s="647"/>
      <c r="M75" s="650"/>
      <c r="N75" s="647">
        <v>0</v>
      </c>
      <c r="O75" s="647">
        <v>0</v>
      </c>
      <c r="P75" s="651">
        <f t="shared" si="13"/>
        <v>0</v>
      </c>
      <c r="Q75" s="651">
        <f t="shared" si="13"/>
        <v>0</v>
      </c>
      <c r="R75" s="651">
        <f>M75*S75</f>
        <v>0</v>
      </c>
      <c r="S75" s="647"/>
      <c r="T75" s="1383"/>
      <c r="U75" s="1383"/>
      <c r="V75" s="1383"/>
      <c r="W75" s="33"/>
    </row>
    <row r="76" spans="1:23" ht="13.5" customHeight="1">
      <c r="A76" s="33"/>
      <c r="B76" s="644">
        <f t="shared" si="11"/>
        <v>64</v>
      </c>
      <c r="C76" s="647"/>
      <c r="D76" s="650"/>
      <c r="E76" s="694"/>
      <c r="F76" s="647"/>
      <c r="G76" s="654"/>
      <c r="H76" s="648"/>
      <c r="I76" s="648"/>
      <c r="J76" s="649"/>
      <c r="K76" s="611"/>
      <c r="L76" s="647"/>
      <c r="M76" s="650"/>
      <c r="N76" s="647"/>
      <c r="O76" s="647"/>
      <c r="P76" s="651"/>
      <c r="Q76" s="651"/>
      <c r="R76" s="651"/>
      <c r="S76" s="647"/>
      <c r="T76" s="1383"/>
      <c r="U76" s="1383"/>
      <c r="V76" s="1383"/>
      <c r="W76" s="33"/>
    </row>
    <row r="77" spans="1:23" ht="13.5" customHeight="1">
      <c r="A77" s="33"/>
      <c r="B77" s="644">
        <f t="shared" si="11"/>
        <v>65</v>
      </c>
      <c r="C77" s="647"/>
      <c r="D77" s="650"/>
      <c r="E77" s="694"/>
      <c r="F77" s="647">
        <v>0</v>
      </c>
      <c r="G77" s="654">
        <v>0</v>
      </c>
      <c r="H77" s="648">
        <f>100*D77*E77/40</f>
        <v>0</v>
      </c>
      <c r="I77" s="648">
        <f>$D77*F77*25/100</f>
        <v>0</v>
      </c>
      <c r="J77" s="649">
        <f>$D77*G77*25/100</f>
        <v>0</v>
      </c>
      <c r="K77" s="611"/>
      <c r="L77" s="647" t="s">
        <v>513</v>
      </c>
      <c r="M77" s="650"/>
      <c r="N77" s="647">
        <v>0</v>
      </c>
      <c r="O77" s="647">
        <v>0</v>
      </c>
      <c r="P77" s="651">
        <f>$M77*N77*25/100</f>
        <v>0</v>
      </c>
      <c r="Q77" s="651">
        <f>$M77*O77*25/100</f>
        <v>0</v>
      </c>
      <c r="R77" s="651">
        <f>M77*S77</f>
        <v>0</v>
      </c>
      <c r="S77" s="647">
        <v>50</v>
      </c>
      <c r="T77" s="1383"/>
      <c r="U77" s="1383"/>
      <c r="V77" s="1383"/>
      <c r="W77" s="33"/>
    </row>
    <row r="78" spans="1:23" ht="13.5" customHeight="1">
      <c r="A78" s="33"/>
      <c r="B78" s="644">
        <f t="shared" si="11"/>
        <v>66</v>
      </c>
      <c r="C78" s="647"/>
      <c r="D78" s="650"/>
      <c r="E78" s="694"/>
      <c r="F78" s="647">
        <v>0</v>
      </c>
      <c r="G78" s="654">
        <v>0</v>
      </c>
      <c r="H78" s="648">
        <f>100*D78*E78/40</f>
        <v>0</v>
      </c>
      <c r="I78" s="648">
        <f>$D78*F78*25/100</f>
        <v>0</v>
      </c>
      <c r="J78" s="649">
        <f>$D78*G78*25/100</f>
        <v>0</v>
      </c>
      <c r="K78" s="611"/>
      <c r="L78" s="658" t="s">
        <v>514</v>
      </c>
      <c r="M78" s="650">
        <v>5</v>
      </c>
      <c r="N78" s="658">
        <v>0</v>
      </c>
      <c r="O78" s="658">
        <v>0</v>
      </c>
      <c r="P78" s="659">
        <f>$M78*N78*25/100</f>
        <v>0</v>
      </c>
      <c r="Q78" s="659">
        <f>$M78*O78*25/100</f>
        <v>0</v>
      </c>
      <c r="R78" s="659">
        <f>M78*S78</f>
        <v>52.9</v>
      </c>
      <c r="S78" s="658">
        <f>T78*U78*V78/1000</f>
        <v>10.58</v>
      </c>
      <c r="T78" s="654">
        <v>20</v>
      </c>
      <c r="U78" s="660">
        <v>23</v>
      </c>
      <c r="V78" s="660">
        <v>23</v>
      </c>
      <c r="W78" s="33"/>
    </row>
    <row r="79" spans="1:23" ht="13.5" customHeight="1">
      <c r="A79" s="33"/>
      <c r="B79" s="661"/>
      <c r="C79" s="661"/>
      <c r="D79" s="662">
        <f>SUM(D13:D78)</f>
        <v>2</v>
      </c>
      <c r="E79" s="663" t="s">
        <v>123</v>
      </c>
      <c r="F79" s="663" t="s">
        <v>474</v>
      </c>
      <c r="G79" s="663" t="s">
        <v>476</v>
      </c>
      <c r="H79" s="661">
        <f>SUM(H13:H78)</f>
        <v>1.6</v>
      </c>
      <c r="I79" s="661">
        <f>SUM(I13:I78)</f>
        <v>132</v>
      </c>
      <c r="J79" s="661">
        <f>SUM(J13:J78)</f>
        <v>9</v>
      </c>
      <c r="K79" s="662"/>
      <c r="L79" s="662"/>
      <c r="M79" s="664">
        <f>SUM(M13:M70)</f>
        <v>4</v>
      </c>
      <c r="N79" s="661"/>
      <c r="O79" s="653"/>
      <c r="P79" s="653">
        <f>SUM(P13:P78)</f>
        <v>49</v>
      </c>
      <c r="Q79" s="653">
        <f>SUM(Q13:Q78)</f>
        <v>12.9</v>
      </c>
      <c r="R79" s="653">
        <f>SUM(R72:R78)</f>
        <v>52.9</v>
      </c>
      <c r="S79" s="653"/>
      <c r="T79" s="1376" t="s">
        <v>678</v>
      </c>
      <c r="U79" s="1376"/>
      <c r="V79" s="1376"/>
      <c r="W79" s="16"/>
    </row>
    <row r="80" spans="1:23" ht="13.5" customHeight="1">
      <c r="A80" s="33"/>
      <c r="B80" s="653"/>
      <c r="C80" s="653"/>
      <c r="D80" s="653"/>
      <c r="E80" s="1375" t="s">
        <v>328</v>
      </c>
      <c r="F80" s="1375"/>
      <c r="G80" s="1375"/>
      <c r="H80" s="1375"/>
      <c r="I80" s="1375"/>
      <c r="J80" s="1375"/>
      <c r="K80" s="1375"/>
      <c r="L80" s="1375"/>
      <c r="M80" s="653"/>
      <c r="N80" s="653"/>
      <c r="O80" s="653"/>
      <c r="P80" s="665"/>
      <c r="Q80" s="665"/>
      <c r="R80" s="665"/>
      <c r="S80" s="665"/>
      <c r="T80" s="1377"/>
      <c r="U80" s="1377"/>
      <c r="V80" s="1377"/>
      <c r="W80" s="16"/>
    </row>
    <row r="81" spans="1:23" ht="13.5" customHeight="1">
      <c r="A81" s="33"/>
      <c r="B81" s="653"/>
      <c r="C81" s="653"/>
      <c r="D81" s="653"/>
      <c r="E81" s="1375"/>
      <c r="F81" s="1375"/>
      <c r="G81" s="1375"/>
      <c r="H81" s="1375"/>
      <c r="I81" s="1375"/>
      <c r="J81" s="1375"/>
      <c r="K81" s="1375"/>
      <c r="L81" s="1375"/>
      <c r="M81" s="661"/>
      <c r="N81" s="661"/>
      <c r="O81" s="661"/>
      <c r="P81" s="653"/>
      <c r="Q81" s="653"/>
      <c r="R81" s="653"/>
      <c r="S81" s="653"/>
      <c r="T81" s="653"/>
      <c r="U81" s="666"/>
      <c r="V81" s="666"/>
      <c r="W81" s="16"/>
    </row>
    <row r="82" spans="1:23" ht="13.5" customHeight="1">
      <c r="A82" s="33"/>
      <c r="B82" s="653"/>
      <c r="C82" s="667"/>
      <c r="D82" s="667"/>
      <c r="E82" s="1375"/>
      <c r="F82" s="1375"/>
      <c r="G82" s="1375"/>
      <c r="H82" s="1375"/>
      <c r="I82" s="1375"/>
      <c r="J82" s="1375"/>
      <c r="K82" s="1375"/>
      <c r="L82" s="1375"/>
      <c r="M82" s="1358"/>
      <c r="N82" s="1358"/>
      <c r="O82" s="1358"/>
      <c r="P82" s="1358"/>
      <c r="Q82" s="1358"/>
      <c r="R82" s="1358"/>
      <c r="S82" s="1358"/>
      <c r="T82" s="1359" t="s">
        <v>355</v>
      </c>
      <c r="U82" s="1359"/>
      <c r="V82" s="1359"/>
      <c r="W82" s="16"/>
    </row>
    <row r="83" spans="1:23" ht="13.5" customHeight="1">
      <c r="A83" s="33"/>
      <c r="B83" s="16"/>
      <c r="C83" s="34"/>
      <c r="D83" s="34"/>
      <c r="E83" s="34"/>
      <c r="F83" s="34"/>
      <c r="G83" s="34"/>
      <c r="H83" s="16"/>
      <c r="I83" s="16"/>
      <c r="J83" s="16"/>
      <c r="K83" s="16"/>
      <c r="L83" s="20"/>
      <c r="M83" s="1080" t="s">
        <v>517</v>
      </c>
      <c r="N83" s="1080"/>
      <c r="O83" s="1080"/>
      <c r="P83" s="1080"/>
      <c r="Q83" s="1080"/>
      <c r="R83" s="1080"/>
      <c r="S83" s="1080"/>
      <c r="T83" s="1361" t="s">
        <v>3</v>
      </c>
      <c r="U83" s="1073"/>
      <c r="V83" s="1073"/>
      <c r="W83" s="16"/>
    </row>
    <row r="84" spans="1:23" ht="13.5" customHeight="1">
      <c r="A84" s="33"/>
      <c r="B84" s="16"/>
      <c r="C84" s="1360" t="s">
        <v>471</v>
      </c>
      <c r="D84" s="1360"/>
      <c r="E84" s="1360"/>
      <c r="F84" s="1360"/>
      <c r="G84" s="1360"/>
      <c r="H84" s="1360"/>
      <c r="I84" s="1360"/>
      <c r="J84" s="1360"/>
      <c r="K84" s="1360"/>
      <c r="L84" s="1360"/>
      <c r="M84" s="1080" t="s">
        <v>518</v>
      </c>
      <c r="N84" s="1080"/>
      <c r="O84" s="1080"/>
      <c r="P84" s="1080"/>
      <c r="Q84" s="1080"/>
      <c r="R84" s="1080"/>
      <c r="S84" s="1080"/>
      <c r="T84" s="1355" t="s">
        <v>15</v>
      </c>
      <c r="U84" s="1073"/>
      <c r="V84" s="1073"/>
      <c r="W84" s="16"/>
    </row>
    <row r="85" spans="1:23" ht="13.5" customHeight="1">
      <c r="A85" s="33"/>
      <c r="B85" s="16"/>
      <c r="C85" s="16"/>
      <c r="D85" s="16"/>
      <c r="E85" s="35"/>
      <c r="F85" s="35"/>
      <c r="G85" s="35"/>
      <c r="H85" s="35"/>
      <c r="I85" s="35"/>
      <c r="J85" s="35"/>
      <c r="K85" s="35"/>
      <c r="L85" s="35"/>
      <c r="M85" s="35"/>
      <c r="N85" s="35"/>
      <c r="O85" s="35"/>
      <c r="P85" s="35"/>
      <c r="Q85" s="35"/>
      <c r="R85" s="35"/>
      <c r="S85" s="35"/>
      <c r="T85" s="35"/>
      <c r="U85" s="35"/>
      <c r="V85" s="35"/>
      <c r="W85" s="16"/>
    </row>
  </sheetData>
  <sheetProtection password="FA80" sheet="1" objects="1" scenarios="1"/>
  <mergeCells count="27">
    <mergeCell ref="E80:L82"/>
    <mergeCell ref="T79:V80"/>
    <mergeCell ref="S12:V12"/>
    <mergeCell ref="B8:V8"/>
    <mergeCell ref="T71:V77"/>
    <mergeCell ref="B9:V9"/>
    <mergeCell ref="B11:C11"/>
    <mergeCell ref="B3:C3"/>
    <mergeCell ref="D3:G3"/>
    <mergeCell ref="D5:G5"/>
    <mergeCell ref="S13:V70"/>
    <mergeCell ref="D4:G4"/>
    <mergeCell ref="O4:W4"/>
    <mergeCell ref="U1:V1"/>
    <mergeCell ref="B2:C2"/>
    <mergeCell ref="T2:V2"/>
    <mergeCell ref="E1:M1"/>
    <mergeCell ref="T84:V84"/>
    <mergeCell ref="D6:G6"/>
    <mergeCell ref="M6:V6"/>
    <mergeCell ref="M82:S82"/>
    <mergeCell ref="T82:V82"/>
    <mergeCell ref="C84:L84"/>
    <mergeCell ref="M84:S84"/>
    <mergeCell ref="M83:S83"/>
    <mergeCell ref="T83:V83"/>
    <mergeCell ref="B12:C12"/>
  </mergeCells>
  <hyperlinks>
    <hyperlink ref="T2" r:id="rId1" display="www.PetesPintPot.co.uk"/>
    <hyperlink ref="T83" r:id="rId2" display="www.PetesPintPot.co.uk"/>
    <hyperlink ref="T84" r:id="rId3" display="www.yobrew.co.uk"/>
  </hyperlinks>
  <printOptions horizontalCentered="1" verticalCentered="1"/>
  <pageMargins left="0.21" right="0.21" top="0.30583333333333" bottom="0.32" header="0.025" footer="0.179861111"/>
  <pageSetup fitToHeight="1" fitToWidth="1" horizontalDpi="30066" verticalDpi="30066" orientation="portrait" paperSize="9" scale="67" r:id="rId5"/>
  <drawing r:id="rId4"/>
</worksheet>
</file>

<file path=xl/worksheets/sheet6.xml><?xml version="1.0" encoding="utf-8"?>
<worksheet xmlns="http://schemas.openxmlformats.org/spreadsheetml/2006/main" xmlns:r="http://schemas.openxmlformats.org/officeDocument/2006/relationships">
  <sheetPr>
    <tabColor indexed="10"/>
  </sheetPr>
  <dimension ref="A1:S101"/>
  <sheetViews>
    <sheetView zoomScale="85" zoomScaleNormal="85" zoomScalePageLayoutView="0" workbookViewId="0" topLeftCell="A1">
      <pane ySplit="19" topLeftCell="BM20" activePane="bottomLeft" state="frozen"/>
      <selection pane="topLeft" activeCell="A1" sqref="A1"/>
      <selection pane="bottomLeft" activeCell="J13" sqref="J13:Q14"/>
    </sheetView>
  </sheetViews>
  <sheetFormatPr defaultColWidth="10.00390625" defaultRowHeight="15"/>
  <cols>
    <col min="1" max="1" width="1.28515625" style="0" customWidth="1"/>
    <col min="2" max="2" width="20.140625" style="2" customWidth="1"/>
    <col min="3" max="3" width="10.8515625" style="2" customWidth="1"/>
    <col min="4" max="6" width="7.00390625" style="2" customWidth="1"/>
    <col min="7" max="8" width="7.00390625" style="1" customWidth="1"/>
    <col min="9" max="9" width="6.7109375" style="1" customWidth="1"/>
    <col min="10" max="12" width="6.421875" style="2" hidden="1" customWidth="1"/>
    <col min="13" max="13" width="6.7109375" style="2" customWidth="1"/>
    <col min="14" max="14" width="7.28125" style="2" hidden="1" customWidth="1"/>
    <col min="15" max="15" width="9.57421875" style="2" customWidth="1"/>
    <col min="16" max="16" width="9.00390625" style="1" customWidth="1"/>
    <col min="17" max="17" width="41.57421875" style="1" customWidth="1"/>
    <col min="18" max="18" width="22.421875" style="1" customWidth="1"/>
    <col min="19" max="19" width="3.421875" style="1" customWidth="1"/>
  </cols>
  <sheetData>
    <row r="1" spans="1:19" ht="20.25">
      <c r="A1" s="5"/>
      <c r="B1" s="3" t="s">
        <v>614</v>
      </c>
      <c r="C1" s="4"/>
      <c r="D1" s="4"/>
      <c r="E1" s="4"/>
      <c r="F1" s="4"/>
      <c r="G1" s="5"/>
      <c r="I1" s="1402" t="s">
        <v>797</v>
      </c>
      <c r="J1" s="1402"/>
      <c r="K1" s="1402"/>
      <c r="L1" s="1402"/>
      <c r="M1" s="1402"/>
      <c r="N1" s="1402"/>
      <c r="O1" s="1402"/>
      <c r="P1" s="1402"/>
      <c r="Q1" s="121"/>
      <c r="R1" s="256" t="s">
        <v>613</v>
      </c>
      <c r="S1" s="121"/>
    </row>
    <row r="2" spans="1:19" ht="11.25" customHeight="1">
      <c r="A2" s="5"/>
      <c r="B2" s="3"/>
      <c r="C2" s="4"/>
      <c r="D2" s="4"/>
      <c r="E2" s="4"/>
      <c r="F2" s="4"/>
      <c r="G2" s="5"/>
      <c r="H2" s="5"/>
      <c r="I2" s="5"/>
      <c r="J2" s="109" t="s">
        <v>356</v>
      </c>
      <c r="K2" s="109" t="s">
        <v>356</v>
      </c>
      <c r="L2" s="109" t="s">
        <v>356</v>
      </c>
      <c r="M2" s="10"/>
      <c r="N2" s="109" t="s">
        <v>558</v>
      </c>
      <c r="O2" s="10"/>
      <c r="P2" s="5"/>
      <c r="Q2" s="275"/>
      <c r="R2" s="269" t="s">
        <v>3</v>
      </c>
      <c r="S2" s="5"/>
    </row>
    <row r="3" spans="1:19" ht="13.5">
      <c r="A3" s="5"/>
      <c r="B3" s="266" t="s">
        <v>522</v>
      </c>
      <c r="C3" s="1403" t="s">
        <v>609</v>
      </c>
      <c r="D3" s="1403"/>
      <c r="E3" s="1403"/>
      <c r="F3" s="1403"/>
      <c r="G3" s="1403"/>
      <c r="H3" s="5"/>
      <c r="I3" s="5"/>
      <c r="J3" s="109"/>
      <c r="K3" s="109"/>
      <c r="L3" s="109"/>
      <c r="M3" s="10"/>
      <c r="N3" s="109"/>
      <c r="O3" s="10"/>
      <c r="P3" s="5"/>
      <c r="Q3" s="5"/>
      <c r="R3" s="129"/>
      <c r="S3" s="5"/>
    </row>
    <row r="4" spans="1:19" ht="5.25" customHeight="1">
      <c r="A4" s="5"/>
      <c r="B4" s="3"/>
      <c r="C4" s="4"/>
      <c r="D4" s="4"/>
      <c r="E4" s="4"/>
      <c r="F4" s="4"/>
      <c r="G4" s="5"/>
      <c r="H4" s="5"/>
      <c r="I4" s="5"/>
      <c r="J4" s="109"/>
      <c r="K4" s="109"/>
      <c r="L4" s="109"/>
      <c r="M4" s="10"/>
      <c r="N4" s="109"/>
      <c r="O4" s="10"/>
      <c r="P4" s="5"/>
      <c r="Q4" s="5"/>
      <c r="R4" s="129"/>
      <c r="S4" s="5"/>
    </row>
    <row r="5" spans="1:19" ht="15" customHeight="1">
      <c r="A5" s="5"/>
      <c r="B5" s="1150" t="s">
        <v>523</v>
      </c>
      <c r="C5" s="1150"/>
      <c r="D5" s="18" t="str">
        <f>FIXED((SUM(N20:N81)),-1)</f>
        <v>500</v>
      </c>
      <c r="E5" s="14" t="s">
        <v>43</v>
      </c>
      <c r="F5" s="4"/>
      <c r="G5" s="5"/>
      <c r="H5" s="5"/>
      <c r="I5" s="5"/>
      <c r="J5" s="109"/>
      <c r="K5" s="109"/>
      <c r="L5" s="109"/>
      <c r="M5" s="10"/>
      <c r="N5" s="109"/>
      <c r="O5" s="10"/>
      <c r="P5" s="540"/>
      <c r="Q5" s="104" t="s">
        <v>685</v>
      </c>
      <c r="R5" s="11"/>
      <c r="S5" s="5"/>
    </row>
    <row r="6" spans="1:19" ht="15" customHeight="1">
      <c r="A6" s="5"/>
      <c r="B6" s="1228" t="s">
        <v>524</v>
      </c>
      <c r="C6" s="1228"/>
      <c r="D6" s="18" t="str">
        <f>FIXED((10+SUM(L20:L81)),-1)</f>
        <v>10</v>
      </c>
      <c r="E6" s="14" t="s">
        <v>76</v>
      </c>
      <c r="F6" s="4"/>
      <c r="G6" s="5"/>
      <c r="H6" s="5"/>
      <c r="I6" s="5"/>
      <c r="J6" s="109"/>
      <c r="K6" s="109"/>
      <c r="L6" s="109"/>
      <c r="M6" s="10"/>
      <c r="N6" s="109"/>
      <c r="O6" s="10"/>
      <c r="P6" s="130"/>
      <c r="Q6" s="104" t="s">
        <v>317</v>
      </c>
      <c r="R6" s="11"/>
      <c r="S6" s="5"/>
    </row>
    <row r="7" spans="1:19" ht="6" customHeight="1">
      <c r="A7" s="5"/>
      <c r="B7" s="12"/>
      <c r="C7" s="12"/>
      <c r="D7" s="12"/>
      <c r="E7" s="12"/>
      <c r="F7" s="12"/>
      <c r="G7" s="12"/>
      <c r="H7" s="12"/>
      <c r="I7" s="12"/>
      <c r="J7" s="12"/>
      <c r="K7" s="12"/>
      <c r="L7" s="18"/>
      <c r="M7" s="13"/>
      <c r="N7" s="13"/>
      <c r="O7" s="13"/>
      <c r="P7" s="14"/>
      <c r="Q7" s="12"/>
      <c r="R7" s="11"/>
      <c r="S7" s="5"/>
    </row>
    <row r="8" spans="1:19" ht="6" customHeight="1">
      <c r="A8" s="5"/>
      <c r="B8" s="122"/>
      <c r="C8" s="122"/>
      <c r="D8" s="122"/>
      <c r="E8" s="122"/>
      <c r="F8" s="122"/>
      <c r="G8" s="122"/>
      <c r="H8" s="122"/>
      <c r="I8" s="122"/>
      <c r="J8" s="122"/>
      <c r="K8" s="122"/>
      <c r="L8" s="122"/>
      <c r="M8" s="122"/>
      <c r="N8" s="122"/>
      <c r="O8" s="122"/>
      <c r="P8" s="122"/>
      <c r="Q8" s="122"/>
      <c r="R8" s="122"/>
      <c r="S8" s="5"/>
    </row>
    <row r="9" spans="1:19" ht="15" customHeight="1">
      <c r="A9" s="5"/>
      <c r="B9" s="1150" t="s">
        <v>525</v>
      </c>
      <c r="C9" s="1150"/>
      <c r="D9" s="539"/>
      <c r="E9" s="1228" t="str">
        <f>"g = "&amp;FIXED(D9/4.75)&amp;" level 5ml tsp. approx."</f>
        <v>g = 0.00 level 5ml tsp. approx.</v>
      </c>
      <c r="F9" s="1228"/>
      <c r="G9" s="1228"/>
      <c r="H9" s="1228"/>
      <c r="I9" s="1228"/>
      <c r="J9" s="105"/>
      <c r="K9" s="105"/>
      <c r="L9" s="105"/>
      <c r="M9" s="105"/>
      <c r="N9" s="105"/>
      <c r="O9" s="105"/>
      <c r="P9" s="105"/>
      <c r="Q9" s="103"/>
      <c r="R9" s="11"/>
      <c r="S9" s="5"/>
    </row>
    <row r="10" spans="1:19" ht="15" customHeight="1">
      <c r="A10" s="5"/>
      <c r="B10" s="1228" t="s">
        <v>526</v>
      </c>
      <c r="C10" s="1228"/>
      <c r="D10" s="539"/>
      <c r="E10" s="1228" t="str">
        <f>"g = "&amp;FIXED(D10/4.5)&amp;" level 5ml tsp. approx."</f>
        <v>g = 0.00 level 5ml tsp. approx.</v>
      </c>
      <c r="F10" s="1228"/>
      <c r="G10" s="1228"/>
      <c r="H10" s="1228"/>
      <c r="I10" s="1228"/>
      <c r="J10" s="1390" t="s">
        <v>557</v>
      </c>
      <c r="K10" s="1390"/>
      <c r="L10" s="1390"/>
      <c r="M10" s="1390"/>
      <c r="N10" s="1390"/>
      <c r="O10" s="1390"/>
      <c r="P10" s="1390"/>
      <c r="Q10" s="1390"/>
      <c r="R10" s="11"/>
      <c r="S10" s="5"/>
    </row>
    <row r="11" spans="1:19" ht="13.5">
      <c r="A11" s="5"/>
      <c r="B11" s="17"/>
      <c r="C11" s="17"/>
      <c r="D11" s="17" t="s">
        <v>547</v>
      </c>
      <c r="E11" s="1228" t="str">
        <f>"g = "&amp;FIXED(3*D10/4.5)&amp;" level 5ml tsp. liquid approx."</f>
        <v>g = 0.00 level 5ml tsp. liquid approx.</v>
      </c>
      <c r="F11" s="1228"/>
      <c r="G11" s="1228"/>
      <c r="H11" s="1228"/>
      <c r="I11" s="1228"/>
      <c r="J11" s="105"/>
      <c r="K11" s="105"/>
      <c r="L11" s="105"/>
      <c r="M11" s="105"/>
      <c r="N11" s="105"/>
      <c r="O11" s="105"/>
      <c r="P11" s="105"/>
      <c r="Q11" s="103"/>
      <c r="R11" s="11"/>
      <c r="S11" s="5"/>
    </row>
    <row r="12" spans="1:19" ht="6" customHeight="1">
      <c r="A12" s="5"/>
      <c r="B12" s="17"/>
      <c r="C12" s="17"/>
      <c r="D12" s="17"/>
      <c r="E12" s="14"/>
      <c r="F12" s="16"/>
      <c r="G12" s="16"/>
      <c r="H12" s="16"/>
      <c r="I12" s="105"/>
      <c r="J12" s="105"/>
      <c r="K12" s="105"/>
      <c r="L12" s="105"/>
      <c r="M12" s="105"/>
      <c r="N12" s="105"/>
      <c r="O12" s="105"/>
      <c r="P12" s="103"/>
      <c r="Q12" s="103"/>
      <c r="R12" s="11"/>
      <c r="S12" s="5"/>
    </row>
    <row r="13" spans="1:19" ht="15" customHeight="1">
      <c r="A13" s="5"/>
      <c r="B13" s="1228" t="s">
        <v>527</v>
      </c>
      <c r="C13" s="1228"/>
      <c r="D13" s="15">
        <f>D9+SUM(K20:K81)</f>
        <v>8.652800000000001</v>
      </c>
      <c r="E13" s="1289" t="str">
        <f>"g = "&amp;FIXED(100*$D$13/$D$15)&amp;"%. Which is"</f>
        <v>g = 1.08%. Which is</v>
      </c>
      <c r="F13" s="1289"/>
      <c r="G13" s="1289"/>
      <c r="H13" s="1389" t="str">
        <f>IF((100*$D$13/$D$15)&gt;1.3,"Very High",IF((100*$D$13/$D$15)&gt;1.1,"High",IF((100*$D$13/$D$15)&gt;0.69,"Medium",IF((100*$D$13/$D$15)&gt;0.49,"Low",IF((100*$D$13/$D$15)&gt;0,"Very Low")))))</f>
        <v>Medium</v>
      </c>
      <c r="I13" s="1389"/>
      <c r="J13" s="1401" t="s">
        <v>555</v>
      </c>
      <c r="K13" s="1401"/>
      <c r="L13" s="1401"/>
      <c r="M13" s="1401"/>
      <c r="N13" s="1401"/>
      <c r="O13" s="1401"/>
      <c r="P13" s="1401"/>
      <c r="Q13" s="1401"/>
      <c r="R13" s="107"/>
      <c r="S13" s="106"/>
    </row>
    <row r="14" spans="1:19" ht="13.5">
      <c r="A14" s="5"/>
      <c r="B14" s="1228" t="s">
        <v>528</v>
      </c>
      <c r="C14" s="1228"/>
      <c r="D14" s="15">
        <f>D10+SUM(J20:J81)</f>
        <v>4.3264000000000005</v>
      </c>
      <c r="E14" s="1289" t="str">
        <f>"g = "&amp;FIXED(100*$D$14/$D$15)&amp;"%. Which is"</f>
        <v>g = 0.54%. Which is</v>
      </c>
      <c r="F14" s="1289"/>
      <c r="G14" s="1289"/>
      <c r="H14" s="1389" t="str">
        <f>IF((100*$D$14/$D$15)&gt;0.89,"Very High",IF((100*$D$14/$D$15)&gt;0.59,"High",IF((100*$D$14/$D$15)&gt;0.29,"Medium",IF((100*$D$14/$D$15)&gt;0.19,"Low",IF((100*$D$14/$D$15)&gt;0,"Very Low")))))</f>
        <v>Medium</v>
      </c>
      <c r="I14" s="1389"/>
      <c r="J14" s="1401"/>
      <c r="K14" s="1401"/>
      <c r="L14" s="1401"/>
      <c r="M14" s="1401"/>
      <c r="N14" s="1401"/>
      <c r="O14" s="1401"/>
      <c r="P14" s="1401"/>
      <c r="Q14" s="1401"/>
      <c r="R14" s="107"/>
      <c r="S14" s="106"/>
    </row>
    <row r="15" spans="1:19" ht="15" customHeight="1">
      <c r="A15" s="5"/>
      <c r="B15" s="1228" t="s">
        <v>529</v>
      </c>
      <c r="C15" s="1228"/>
      <c r="D15" s="18" t="str">
        <f>FIXED((0.58*D5+D6+SUM(F20:F81)),-1)</f>
        <v>800</v>
      </c>
      <c r="E15" s="1228" t="s">
        <v>548</v>
      </c>
      <c r="F15" s="1228"/>
      <c r="G15" s="1228"/>
      <c r="H15" s="1228"/>
      <c r="I15" s="1228"/>
      <c r="J15" s="5"/>
      <c r="K15" s="10"/>
      <c r="L15" s="10"/>
      <c r="M15" s="109"/>
      <c r="N15" s="10"/>
      <c r="O15" s="10"/>
      <c r="P15" s="10"/>
      <c r="Q15" s="1387" t="s">
        <v>328</v>
      </c>
      <c r="R15" s="289"/>
      <c r="S15" s="265"/>
    </row>
    <row r="16" spans="1:19" ht="15" customHeight="1">
      <c r="A16" s="5"/>
      <c r="B16" s="1392" t="s">
        <v>530</v>
      </c>
      <c r="C16" s="1386"/>
      <c r="D16" s="102">
        <f>0.002*D15</f>
        <v>1.6</v>
      </c>
      <c r="E16" s="1393" t="s">
        <v>549</v>
      </c>
      <c r="F16" s="1393"/>
      <c r="G16" s="1393"/>
      <c r="H16" s="1393"/>
      <c r="I16" s="1393"/>
      <c r="J16" s="1393"/>
      <c r="K16" s="10"/>
      <c r="L16" s="10"/>
      <c r="M16" s="10"/>
      <c r="N16" s="10"/>
      <c r="O16" s="10"/>
      <c r="P16" s="10"/>
      <c r="Q16" s="1387"/>
      <c r="R16" s="10"/>
      <c r="S16" s="265"/>
    </row>
    <row r="17" spans="1:19" ht="6" customHeight="1">
      <c r="A17" s="5"/>
      <c r="B17" s="3"/>
      <c r="C17" s="4"/>
      <c r="D17" s="4"/>
      <c r="E17" s="4"/>
      <c r="F17" s="4"/>
      <c r="G17" s="5"/>
      <c r="H17" s="5"/>
      <c r="I17" s="5"/>
      <c r="J17" s="5"/>
      <c r="K17" s="10"/>
      <c r="L17" s="10"/>
      <c r="M17" s="10"/>
      <c r="N17" s="10"/>
      <c r="O17" s="10"/>
      <c r="P17" s="5"/>
      <c r="Q17" s="5"/>
      <c r="R17" s="11"/>
      <c r="S17" s="5"/>
    </row>
    <row r="18" spans="1:19" ht="15" customHeight="1">
      <c r="A18" s="5"/>
      <c r="B18" s="1394" t="s">
        <v>531</v>
      </c>
      <c r="C18" s="1395"/>
      <c r="D18" s="65" t="s">
        <v>62</v>
      </c>
      <c r="E18" s="65" t="s">
        <v>550</v>
      </c>
      <c r="F18" s="65" t="s">
        <v>553</v>
      </c>
      <c r="G18" s="66" t="s">
        <v>310</v>
      </c>
      <c r="H18" s="67" t="s">
        <v>329</v>
      </c>
      <c r="I18" s="68" t="s">
        <v>554</v>
      </c>
      <c r="J18" s="75" t="s">
        <v>329</v>
      </c>
      <c r="K18" s="75" t="s">
        <v>310</v>
      </c>
      <c r="L18" s="69" t="s">
        <v>554</v>
      </c>
      <c r="M18" s="68" t="s">
        <v>244</v>
      </c>
      <c r="N18" s="76" t="s">
        <v>244</v>
      </c>
      <c r="O18" s="68" t="s">
        <v>560</v>
      </c>
      <c r="P18" s="5"/>
      <c r="Q18" s="5"/>
      <c r="R18" s="5"/>
      <c r="S18" s="5"/>
    </row>
    <row r="19" spans="1:19" ht="13.5">
      <c r="A19" s="5"/>
      <c r="B19" s="1396"/>
      <c r="C19" s="1397"/>
      <c r="D19" s="70" t="s">
        <v>43</v>
      </c>
      <c r="E19" s="70" t="s">
        <v>551</v>
      </c>
      <c r="F19" s="70" t="s">
        <v>62</v>
      </c>
      <c r="G19" s="70" t="s">
        <v>134</v>
      </c>
      <c r="H19" s="71" t="s">
        <v>134</v>
      </c>
      <c r="I19" s="72" t="s">
        <v>551</v>
      </c>
      <c r="J19" s="77" t="s">
        <v>43</v>
      </c>
      <c r="K19" s="77" t="s">
        <v>43</v>
      </c>
      <c r="L19" s="73" t="s">
        <v>556</v>
      </c>
      <c r="M19" s="72" t="s">
        <v>551</v>
      </c>
      <c r="N19" s="78" t="s">
        <v>559</v>
      </c>
      <c r="O19" s="72" t="s">
        <v>561</v>
      </c>
      <c r="P19" s="5"/>
      <c r="Q19" s="5"/>
      <c r="R19" s="5"/>
      <c r="S19" s="5"/>
    </row>
    <row r="20" spans="1:19" ht="13.5">
      <c r="A20" s="5"/>
      <c r="B20" s="6" t="s">
        <v>155</v>
      </c>
      <c r="C20" s="100" t="s">
        <v>225</v>
      </c>
      <c r="D20" s="617"/>
      <c r="E20" s="668">
        <v>1.2</v>
      </c>
      <c r="F20" s="669">
        <f aca="true" t="shared" si="0" ref="F20:F51">IF(E20=0,0,D20/E20)</f>
        <v>0</v>
      </c>
      <c r="G20" s="670">
        <v>1.2</v>
      </c>
      <c r="H20" s="670">
        <v>0.75</v>
      </c>
      <c r="I20" s="668">
        <v>0</v>
      </c>
      <c r="J20" s="668">
        <f aca="true" t="shared" si="1" ref="J20:J36">0.01*D20*E20*H20</f>
        <v>0</v>
      </c>
      <c r="K20" s="668">
        <f aca="true" t="shared" si="2" ref="K20:K36">0.01*D20*E20*G20</f>
        <v>0</v>
      </c>
      <c r="L20" s="670">
        <f aca="true" t="shared" si="3" ref="L20:L51">I20*F20</f>
        <v>0</v>
      </c>
      <c r="M20" s="668">
        <v>1</v>
      </c>
      <c r="N20" s="668">
        <f aca="true" t="shared" si="4" ref="N20:N51">F20*M20</f>
        <v>0</v>
      </c>
      <c r="O20" s="668">
        <v>30</v>
      </c>
      <c r="P20" s="5"/>
      <c r="Q20" s="101"/>
      <c r="R20" s="101"/>
      <c r="S20" s="5"/>
    </row>
    <row r="21" spans="1:19" ht="13.5">
      <c r="A21" s="5"/>
      <c r="B21" s="6"/>
      <c r="C21" s="100" t="s">
        <v>226</v>
      </c>
      <c r="D21" s="646"/>
      <c r="E21" s="671">
        <v>1.2</v>
      </c>
      <c r="F21" s="648">
        <f t="shared" si="0"/>
        <v>0</v>
      </c>
      <c r="G21" s="672">
        <v>0.7</v>
      </c>
      <c r="H21" s="673">
        <v>0.7</v>
      </c>
      <c r="I21" s="671">
        <v>0</v>
      </c>
      <c r="J21" s="671">
        <f t="shared" si="1"/>
        <v>0</v>
      </c>
      <c r="K21" s="671">
        <f t="shared" si="2"/>
        <v>0</v>
      </c>
      <c r="L21" s="672">
        <f t="shared" si="3"/>
        <v>0</v>
      </c>
      <c r="M21" s="671">
        <v>1</v>
      </c>
      <c r="N21" s="671">
        <f t="shared" si="4"/>
        <v>0</v>
      </c>
      <c r="O21" s="671">
        <v>30</v>
      </c>
      <c r="P21" s="5"/>
      <c r="Q21" s="101"/>
      <c r="R21" s="101"/>
      <c r="S21" s="5"/>
    </row>
    <row r="22" spans="1:19" ht="13.5">
      <c r="A22" s="5"/>
      <c r="B22" s="6" t="s">
        <v>156</v>
      </c>
      <c r="C22" s="6" t="s">
        <v>543</v>
      </c>
      <c r="D22" s="646"/>
      <c r="E22" s="671">
        <v>1.1</v>
      </c>
      <c r="F22" s="648">
        <f t="shared" si="0"/>
        <v>0</v>
      </c>
      <c r="G22" s="672">
        <v>1.2</v>
      </c>
      <c r="H22" s="673">
        <v>0.35</v>
      </c>
      <c r="I22" s="671">
        <v>0.09</v>
      </c>
      <c r="J22" s="671">
        <f t="shared" si="1"/>
        <v>0</v>
      </c>
      <c r="K22" s="671">
        <f t="shared" si="2"/>
        <v>0</v>
      </c>
      <c r="L22" s="672">
        <f t="shared" si="3"/>
        <v>0</v>
      </c>
      <c r="M22" s="671">
        <v>0.85</v>
      </c>
      <c r="N22" s="671">
        <f t="shared" si="4"/>
        <v>0</v>
      </c>
      <c r="O22" s="671">
        <v>35</v>
      </c>
      <c r="P22" s="5"/>
      <c r="Q22" s="101"/>
      <c r="R22" s="101"/>
      <c r="S22" s="5"/>
    </row>
    <row r="23" spans="1:19" ht="13.5">
      <c r="A23" s="5"/>
      <c r="B23" s="6"/>
      <c r="C23" s="6" t="s">
        <v>544</v>
      </c>
      <c r="D23" s="646"/>
      <c r="E23" s="671">
        <v>1.1</v>
      </c>
      <c r="F23" s="648">
        <f t="shared" si="0"/>
        <v>0</v>
      </c>
      <c r="G23" s="672">
        <v>1.2</v>
      </c>
      <c r="H23" s="673">
        <v>0.35</v>
      </c>
      <c r="I23" s="671">
        <v>0.15</v>
      </c>
      <c r="J23" s="671">
        <f t="shared" si="1"/>
        <v>0</v>
      </c>
      <c r="K23" s="671">
        <f t="shared" si="2"/>
        <v>0</v>
      </c>
      <c r="L23" s="672">
        <f t="shared" si="3"/>
        <v>0</v>
      </c>
      <c r="M23" s="671">
        <v>0.85</v>
      </c>
      <c r="N23" s="671">
        <f t="shared" si="4"/>
        <v>0</v>
      </c>
      <c r="O23" s="671">
        <v>35</v>
      </c>
      <c r="P23" s="5"/>
      <c r="Q23" s="101"/>
      <c r="R23" s="101"/>
      <c r="S23" s="5"/>
    </row>
    <row r="24" spans="1:19" ht="13.5">
      <c r="A24" s="5"/>
      <c r="B24" s="6"/>
      <c r="C24" s="100" t="s">
        <v>229</v>
      </c>
      <c r="D24" s="646"/>
      <c r="E24" s="671">
        <v>1</v>
      </c>
      <c r="F24" s="648">
        <f t="shared" si="0"/>
        <v>0</v>
      </c>
      <c r="G24" s="672">
        <v>3.6</v>
      </c>
      <c r="H24" s="673">
        <v>1.05</v>
      </c>
      <c r="I24" s="671">
        <v>3</v>
      </c>
      <c r="J24" s="671">
        <f t="shared" si="1"/>
        <v>0</v>
      </c>
      <c r="K24" s="671">
        <f t="shared" si="2"/>
        <v>0</v>
      </c>
      <c r="L24" s="672">
        <f t="shared" si="3"/>
        <v>0</v>
      </c>
      <c r="M24" s="671">
        <v>2</v>
      </c>
      <c r="N24" s="671">
        <f t="shared" si="4"/>
        <v>0</v>
      </c>
      <c r="O24" s="674" t="s">
        <v>562</v>
      </c>
      <c r="P24" s="5"/>
      <c r="Q24" s="101"/>
      <c r="R24" s="101"/>
      <c r="S24" s="5"/>
    </row>
    <row r="25" spans="1:19" ht="13.5">
      <c r="A25" s="5"/>
      <c r="B25" s="6" t="s">
        <v>157</v>
      </c>
      <c r="C25" s="100" t="s">
        <v>228</v>
      </c>
      <c r="D25" s="646"/>
      <c r="E25" s="671">
        <v>1.5</v>
      </c>
      <c r="F25" s="648">
        <f t="shared" si="0"/>
        <v>0</v>
      </c>
      <c r="G25" s="672">
        <v>0.35</v>
      </c>
      <c r="H25" s="672">
        <v>0.55</v>
      </c>
      <c r="I25" s="671">
        <v>0</v>
      </c>
      <c r="J25" s="671">
        <f t="shared" si="1"/>
        <v>0</v>
      </c>
      <c r="K25" s="671">
        <f t="shared" si="2"/>
        <v>0</v>
      </c>
      <c r="L25" s="672">
        <f t="shared" si="3"/>
        <v>0</v>
      </c>
      <c r="M25" s="671">
        <v>1</v>
      </c>
      <c r="N25" s="671">
        <f t="shared" si="4"/>
        <v>0</v>
      </c>
      <c r="O25" s="671">
        <v>30</v>
      </c>
      <c r="P25" s="5"/>
      <c r="Q25" s="101"/>
      <c r="R25" s="101"/>
      <c r="S25" s="5"/>
    </row>
    <row r="26" spans="1:19" ht="13.5">
      <c r="A26" s="5"/>
      <c r="B26" s="6" t="s">
        <v>158</v>
      </c>
      <c r="C26" s="6"/>
      <c r="D26" s="646"/>
      <c r="E26" s="671">
        <v>1</v>
      </c>
      <c r="F26" s="648">
        <f t="shared" si="0"/>
        <v>0</v>
      </c>
      <c r="G26" s="672">
        <v>0.95</v>
      </c>
      <c r="H26" s="673">
        <v>0.8</v>
      </c>
      <c r="I26" s="671">
        <v>0</v>
      </c>
      <c r="J26" s="671">
        <f t="shared" si="1"/>
        <v>0</v>
      </c>
      <c r="K26" s="671">
        <f t="shared" si="2"/>
        <v>0</v>
      </c>
      <c r="L26" s="672">
        <f t="shared" si="3"/>
        <v>0</v>
      </c>
      <c r="M26" s="671">
        <v>1</v>
      </c>
      <c r="N26" s="671">
        <f t="shared" si="4"/>
        <v>0</v>
      </c>
      <c r="O26" s="671">
        <v>20</v>
      </c>
      <c r="P26" s="5"/>
      <c r="Q26" s="101"/>
      <c r="R26" s="101"/>
      <c r="S26" s="5"/>
    </row>
    <row r="27" spans="1:19" ht="13.5">
      <c r="A27" s="5"/>
      <c r="B27" s="6" t="s">
        <v>159</v>
      </c>
      <c r="C27" s="6"/>
      <c r="D27" s="646"/>
      <c r="E27" s="671">
        <v>1</v>
      </c>
      <c r="F27" s="648">
        <f t="shared" si="0"/>
        <v>0</v>
      </c>
      <c r="G27" s="672">
        <v>1.1</v>
      </c>
      <c r="H27" s="672">
        <v>0.8</v>
      </c>
      <c r="I27" s="671">
        <v>0</v>
      </c>
      <c r="J27" s="671">
        <f t="shared" si="1"/>
        <v>0</v>
      </c>
      <c r="K27" s="671">
        <f t="shared" si="2"/>
        <v>0</v>
      </c>
      <c r="L27" s="672">
        <f t="shared" si="3"/>
        <v>0</v>
      </c>
      <c r="M27" s="671">
        <v>1</v>
      </c>
      <c r="N27" s="671">
        <f t="shared" si="4"/>
        <v>0</v>
      </c>
      <c r="O27" s="671">
        <v>25</v>
      </c>
      <c r="P27" s="5"/>
      <c r="Q27" s="101"/>
      <c r="R27" s="101"/>
      <c r="S27" s="5"/>
    </row>
    <row r="28" spans="1:19" ht="13.5">
      <c r="A28" s="5"/>
      <c r="B28" s="6" t="s">
        <v>160</v>
      </c>
      <c r="C28" s="6"/>
      <c r="D28" s="646"/>
      <c r="E28" s="671">
        <v>1</v>
      </c>
      <c r="F28" s="648">
        <f t="shared" si="0"/>
        <v>0</v>
      </c>
      <c r="G28" s="672">
        <v>3.5</v>
      </c>
      <c r="H28" s="672">
        <v>1.1</v>
      </c>
      <c r="I28" s="671">
        <v>0.4</v>
      </c>
      <c r="J28" s="671">
        <f t="shared" si="1"/>
        <v>0</v>
      </c>
      <c r="K28" s="671">
        <f t="shared" si="2"/>
        <v>0</v>
      </c>
      <c r="L28" s="672">
        <f t="shared" si="3"/>
        <v>0</v>
      </c>
      <c r="M28" s="671">
        <v>1.25</v>
      </c>
      <c r="N28" s="671">
        <f t="shared" si="4"/>
        <v>0</v>
      </c>
      <c r="O28" s="674" t="s">
        <v>563</v>
      </c>
      <c r="P28" s="5"/>
      <c r="Q28" s="101"/>
      <c r="R28" s="101"/>
      <c r="S28" s="5"/>
    </row>
    <row r="29" spans="1:19" ht="13.5">
      <c r="A29" s="5"/>
      <c r="B29" s="6" t="s">
        <v>161</v>
      </c>
      <c r="C29" s="6"/>
      <c r="D29" s="646"/>
      <c r="E29" s="671">
        <v>1</v>
      </c>
      <c r="F29" s="648">
        <f t="shared" si="0"/>
        <v>0</v>
      </c>
      <c r="G29" s="672">
        <v>0.3</v>
      </c>
      <c r="H29" s="673">
        <v>0.8</v>
      </c>
      <c r="I29" s="671">
        <v>0</v>
      </c>
      <c r="J29" s="671">
        <f t="shared" si="1"/>
        <v>0</v>
      </c>
      <c r="K29" s="671">
        <f t="shared" si="2"/>
        <v>0</v>
      </c>
      <c r="L29" s="672">
        <f t="shared" si="3"/>
        <v>0</v>
      </c>
      <c r="M29" s="671">
        <v>1</v>
      </c>
      <c r="N29" s="671">
        <f t="shared" si="4"/>
        <v>0</v>
      </c>
      <c r="O29" s="671">
        <v>20</v>
      </c>
      <c r="P29" s="5"/>
      <c r="Q29" s="101"/>
      <c r="R29" s="101"/>
      <c r="S29" s="5"/>
    </row>
    <row r="30" spans="1:19" ht="13.5">
      <c r="A30" s="5"/>
      <c r="B30" s="6" t="s">
        <v>162</v>
      </c>
      <c r="C30" s="100" t="s">
        <v>230</v>
      </c>
      <c r="D30" s="646"/>
      <c r="E30" s="671">
        <v>1.15</v>
      </c>
      <c r="F30" s="648">
        <f t="shared" si="0"/>
        <v>0</v>
      </c>
      <c r="G30" s="672">
        <v>0.5</v>
      </c>
      <c r="H30" s="672">
        <v>0.25</v>
      </c>
      <c r="I30" s="671">
        <v>0</v>
      </c>
      <c r="J30" s="671">
        <f t="shared" si="1"/>
        <v>0</v>
      </c>
      <c r="K30" s="671">
        <f t="shared" si="2"/>
        <v>0</v>
      </c>
      <c r="L30" s="672">
        <f t="shared" si="3"/>
        <v>0</v>
      </c>
      <c r="M30" s="671">
        <v>0.65</v>
      </c>
      <c r="N30" s="671">
        <f t="shared" si="4"/>
        <v>0</v>
      </c>
      <c r="O30" s="674" t="s">
        <v>564</v>
      </c>
      <c r="P30" s="5"/>
      <c r="Q30" s="101"/>
      <c r="R30" s="101"/>
      <c r="S30" s="5"/>
    </row>
    <row r="31" spans="1:19" ht="13.5">
      <c r="A31" s="5"/>
      <c r="B31" s="6"/>
      <c r="C31" s="100" t="s">
        <v>231</v>
      </c>
      <c r="D31" s="646"/>
      <c r="E31" s="671">
        <v>1.15</v>
      </c>
      <c r="F31" s="648">
        <f t="shared" si="0"/>
        <v>0</v>
      </c>
      <c r="G31" s="672">
        <v>0.5</v>
      </c>
      <c r="H31" s="673">
        <v>0.25</v>
      </c>
      <c r="I31" s="671">
        <v>0</v>
      </c>
      <c r="J31" s="671">
        <f t="shared" si="1"/>
        <v>0</v>
      </c>
      <c r="K31" s="671">
        <f t="shared" si="2"/>
        <v>0</v>
      </c>
      <c r="L31" s="672">
        <f t="shared" si="3"/>
        <v>0</v>
      </c>
      <c r="M31" s="671">
        <v>0.65</v>
      </c>
      <c r="N31" s="671">
        <f t="shared" si="4"/>
        <v>0</v>
      </c>
      <c r="O31" s="674" t="s">
        <v>564</v>
      </c>
      <c r="P31" s="5"/>
      <c r="Q31" s="101"/>
      <c r="R31" s="101"/>
      <c r="S31" s="5"/>
    </row>
    <row r="32" spans="1:19" ht="13.5">
      <c r="A32" s="5"/>
      <c r="B32" s="6" t="s">
        <v>163</v>
      </c>
      <c r="C32" s="6"/>
      <c r="D32" s="646"/>
      <c r="E32" s="671">
        <v>1</v>
      </c>
      <c r="F32" s="648">
        <f t="shared" si="0"/>
        <v>0</v>
      </c>
      <c r="G32" s="672">
        <v>3</v>
      </c>
      <c r="H32" s="673">
        <v>0.8</v>
      </c>
      <c r="I32" s="671">
        <v>0</v>
      </c>
      <c r="J32" s="671">
        <f t="shared" si="1"/>
        <v>0</v>
      </c>
      <c r="K32" s="671">
        <f t="shared" si="2"/>
        <v>0</v>
      </c>
      <c r="L32" s="672">
        <f t="shared" si="3"/>
        <v>0</v>
      </c>
      <c r="M32" s="671">
        <v>1.25</v>
      </c>
      <c r="N32" s="671">
        <f t="shared" si="4"/>
        <v>0</v>
      </c>
      <c r="O32" s="671">
        <v>35</v>
      </c>
      <c r="P32" s="5"/>
      <c r="Q32" s="101"/>
      <c r="R32" s="101"/>
      <c r="S32" s="5"/>
    </row>
    <row r="33" spans="1:19" ht="13.5">
      <c r="A33" s="5"/>
      <c r="B33" s="6" t="s">
        <v>164</v>
      </c>
      <c r="C33" s="6" t="s">
        <v>543</v>
      </c>
      <c r="D33" s="646"/>
      <c r="E33" s="671">
        <v>1.1</v>
      </c>
      <c r="F33" s="648">
        <f t="shared" si="0"/>
        <v>0</v>
      </c>
      <c r="G33" s="672">
        <v>2.2</v>
      </c>
      <c r="H33" s="672">
        <v>1.1</v>
      </c>
      <c r="I33" s="671">
        <v>0.15</v>
      </c>
      <c r="J33" s="671">
        <f t="shared" si="1"/>
        <v>0</v>
      </c>
      <c r="K33" s="671">
        <f t="shared" si="2"/>
        <v>0</v>
      </c>
      <c r="L33" s="672">
        <f t="shared" si="3"/>
        <v>0</v>
      </c>
      <c r="M33" s="671">
        <v>1.25</v>
      </c>
      <c r="N33" s="671">
        <f t="shared" si="4"/>
        <v>0</v>
      </c>
      <c r="O33" s="674" t="s">
        <v>565</v>
      </c>
      <c r="P33" s="5"/>
      <c r="Q33" s="101"/>
      <c r="R33" s="101"/>
      <c r="S33" s="5"/>
    </row>
    <row r="34" spans="1:19" ht="13.5">
      <c r="A34" s="5"/>
      <c r="B34" s="6"/>
      <c r="C34" s="6" t="s">
        <v>544</v>
      </c>
      <c r="D34" s="646"/>
      <c r="E34" s="671">
        <v>1.1</v>
      </c>
      <c r="F34" s="648">
        <f t="shared" si="0"/>
        <v>0</v>
      </c>
      <c r="G34" s="675">
        <v>2.3</v>
      </c>
      <c r="H34" s="672">
        <v>1.2</v>
      </c>
      <c r="I34" s="671">
        <v>0.3</v>
      </c>
      <c r="J34" s="671">
        <f t="shared" si="1"/>
        <v>0</v>
      </c>
      <c r="K34" s="671">
        <f t="shared" si="2"/>
        <v>0</v>
      </c>
      <c r="L34" s="672">
        <f t="shared" si="3"/>
        <v>0</v>
      </c>
      <c r="M34" s="671">
        <v>1.5</v>
      </c>
      <c r="N34" s="671">
        <f t="shared" si="4"/>
        <v>0</v>
      </c>
      <c r="O34" s="674" t="s">
        <v>565</v>
      </c>
      <c r="P34" s="5"/>
      <c r="Q34" s="101"/>
      <c r="R34" s="101"/>
      <c r="S34" s="5"/>
    </row>
    <row r="35" spans="1:19" ht="13.5">
      <c r="A35" s="5"/>
      <c r="B35" s="6" t="s">
        <v>166</v>
      </c>
      <c r="C35" s="6"/>
      <c r="D35" s="646"/>
      <c r="E35" s="671">
        <v>1</v>
      </c>
      <c r="F35" s="648">
        <f t="shared" si="0"/>
        <v>0</v>
      </c>
      <c r="G35" s="672">
        <v>1.05</v>
      </c>
      <c r="H35" s="673">
        <v>0.8</v>
      </c>
      <c r="I35" s="671">
        <v>0</v>
      </c>
      <c r="J35" s="671">
        <f t="shared" si="1"/>
        <v>0</v>
      </c>
      <c r="K35" s="671">
        <f t="shared" si="2"/>
        <v>0</v>
      </c>
      <c r="L35" s="672">
        <f t="shared" si="3"/>
        <v>0</v>
      </c>
      <c r="M35" s="671">
        <v>1</v>
      </c>
      <c r="N35" s="671">
        <f t="shared" si="4"/>
        <v>0</v>
      </c>
      <c r="O35" s="671">
        <v>25</v>
      </c>
      <c r="P35" s="5"/>
      <c r="Q35" s="101"/>
      <c r="R35" s="101"/>
      <c r="S35" s="5"/>
    </row>
    <row r="36" spans="1:19" ht="13.5">
      <c r="A36" s="5"/>
      <c r="B36" s="6" t="s">
        <v>167</v>
      </c>
      <c r="C36" s="6"/>
      <c r="D36" s="646"/>
      <c r="E36" s="671">
        <v>1</v>
      </c>
      <c r="F36" s="648">
        <f t="shared" si="0"/>
        <v>0</v>
      </c>
      <c r="G36" s="672">
        <v>0.4</v>
      </c>
      <c r="H36" s="673">
        <v>0.8</v>
      </c>
      <c r="I36" s="671">
        <v>0</v>
      </c>
      <c r="J36" s="671">
        <f t="shared" si="1"/>
        <v>0</v>
      </c>
      <c r="K36" s="671">
        <f t="shared" si="2"/>
        <v>0</v>
      </c>
      <c r="L36" s="672">
        <f t="shared" si="3"/>
        <v>0</v>
      </c>
      <c r="M36" s="671">
        <v>1</v>
      </c>
      <c r="N36" s="671">
        <f t="shared" si="4"/>
        <v>0</v>
      </c>
      <c r="O36" s="671">
        <v>45</v>
      </c>
      <c r="P36" s="5"/>
      <c r="Q36" s="101"/>
      <c r="R36" s="101"/>
      <c r="S36" s="5"/>
    </row>
    <row r="37" spans="1:19" ht="13.5">
      <c r="A37" s="5"/>
      <c r="B37" s="6" t="s">
        <v>168</v>
      </c>
      <c r="C37" s="6" t="s">
        <v>543</v>
      </c>
      <c r="D37" s="646"/>
      <c r="E37" s="671">
        <v>1</v>
      </c>
      <c r="F37" s="648">
        <f t="shared" si="0"/>
        <v>0</v>
      </c>
      <c r="G37" s="672">
        <v>1.7</v>
      </c>
      <c r="H37" s="672">
        <v>0.85</v>
      </c>
      <c r="I37" s="671">
        <v>0.15</v>
      </c>
      <c r="J37" s="671">
        <f>0.01*D38*E38*H38</f>
        <v>0</v>
      </c>
      <c r="K37" s="671">
        <f>0.01*D38*E38*G38</f>
        <v>0</v>
      </c>
      <c r="L37" s="672">
        <f t="shared" si="3"/>
        <v>0</v>
      </c>
      <c r="M37" s="671">
        <v>1.1</v>
      </c>
      <c r="N37" s="671">
        <f t="shared" si="4"/>
        <v>0</v>
      </c>
      <c r="O37" s="674" t="s">
        <v>565</v>
      </c>
      <c r="P37" s="5"/>
      <c r="Q37" s="101"/>
      <c r="R37" s="101"/>
      <c r="S37" s="5"/>
    </row>
    <row r="38" spans="1:19" ht="13.5">
      <c r="A38" s="5"/>
      <c r="B38" s="6"/>
      <c r="C38" s="6" t="s">
        <v>544</v>
      </c>
      <c r="D38" s="646"/>
      <c r="E38" s="671">
        <v>1</v>
      </c>
      <c r="F38" s="648">
        <f t="shared" si="0"/>
        <v>0</v>
      </c>
      <c r="G38" s="672">
        <v>1.8</v>
      </c>
      <c r="H38" s="672">
        <v>0.9</v>
      </c>
      <c r="I38" s="671">
        <v>0.5</v>
      </c>
      <c r="J38" s="671">
        <f>0.01*D39*E39*H39</f>
        <v>0</v>
      </c>
      <c r="K38" s="671">
        <f>0.01*D39*E39*G39</f>
        <v>0</v>
      </c>
      <c r="L38" s="672">
        <f t="shared" si="3"/>
        <v>0</v>
      </c>
      <c r="M38" s="671">
        <v>1.1</v>
      </c>
      <c r="N38" s="671">
        <f t="shared" si="4"/>
        <v>0</v>
      </c>
      <c r="O38" s="674" t="s">
        <v>565</v>
      </c>
      <c r="P38" s="5"/>
      <c r="Q38" s="101"/>
      <c r="R38" s="101"/>
      <c r="S38" s="5"/>
    </row>
    <row r="39" spans="1:19" ht="13.5">
      <c r="A39" s="5"/>
      <c r="B39" s="6" t="s">
        <v>169</v>
      </c>
      <c r="C39" s="100" t="s">
        <v>234</v>
      </c>
      <c r="D39" s="646"/>
      <c r="E39" s="671">
        <v>1</v>
      </c>
      <c r="F39" s="648">
        <f t="shared" si="0"/>
        <v>0</v>
      </c>
      <c r="G39" s="672">
        <v>0.85</v>
      </c>
      <c r="H39" s="672">
        <v>0.25</v>
      </c>
      <c r="I39" s="671">
        <v>0</v>
      </c>
      <c r="J39" s="671">
        <f aca="true" t="shared" si="5" ref="J39:J68">0.01*D39*E39*H39</f>
        <v>0</v>
      </c>
      <c r="K39" s="671">
        <f aca="true" t="shared" si="6" ref="K39:K68">0.01*D39*E39*G39</f>
        <v>0</v>
      </c>
      <c r="L39" s="672">
        <f t="shared" si="3"/>
        <v>0</v>
      </c>
      <c r="M39" s="671">
        <v>1</v>
      </c>
      <c r="N39" s="671">
        <f t="shared" si="4"/>
        <v>0</v>
      </c>
      <c r="O39" s="674" t="s">
        <v>566</v>
      </c>
      <c r="P39" s="5"/>
      <c r="Q39" s="101"/>
      <c r="R39" s="101"/>
      <c r="S39" s="5"/>
    </row>
    <row r="40" spans="1:19" ht="13.5">
      <c r="A40" s="5"/>
      <c r="B40" s="6"/>
      <c r="C40" s="100" t="s">
        <v>231</v>
      </c>
      <c r="D40" s="646"/>
      <c r="E40" s="671">
        <v>1</v>
      </c>
      <c r="F40" s="648">
        <f t="shared" si="0"/>
        <v>0</v>
      </c>
      <c r="G40" s="672">
        <v>0.85</v>
      </c>
      <c r="H40" s="672">
        <v>0.25</v>
      </c>
      <c r="I40" s="671">
        <v>0</v>
      </c>
      <c r="J40" s="671">
        <f t="shared" si="5"/>
        <v>0</v>
      </c>
      <c r="K40" s="671">
        <f t="shared" si="6"/>
        <v>0</v>
      </c>
      <c r="L40" s="672">
        <f t="shared" si="3"/>
        <v>0</v>
      </c>
      <c r="M40" s="671">
        <v>0.75</v>
      </c>
      <c r="N40" s="671">
        <f t="shared" si="4"/>
        <v>0</v>
      </c>
      <c r="O40" s="674" t="s">
        <v>566</v>
      </c>
      <c r="P40" s="5"/>
      <c r="Q40" s="101"/>
      <c r="R40" s="101"/>
      <c r="S40" s="5"/>
    </row>
    <row r="41" spans="1:19" ht="13.5">
      <c r="A41" s="5"/>
      <c r="B41" s="6" t="s">
        <v>171</v>
      </c>
      <c r="C41" s="6"/>
      <c r="D41" s="646"/>
      <c r="E41" s="671">
        <v>1.5</v>
      </c>
      <c r="F41" s="648">
        <f t="shared" si="0"/>
        <v>0</v>
      </c>
      <c r="G41" s="672">
        <v>2</v>
      </c>
      <c r="H41" s="672">
        <v>1.45</v>
      </c>
      <c r="I41" s="671">
        <v>0.15</v>
      </c>
      <c r="J41" s="671">
        <f t="shared" si="5"/>
        <v>0</v>
      </c>
      <c r="K41" s="671">
        <f t="shared" si="6"/>
        <v>0</v>
      </c>
      <c r="L41" s="672">
        <f t="shared" si="3"/>
        <v>0</v>
      </c>
      <c r="M41" s="671">
        <v>1.25</v>
      </c>
      <c r="N41" s="671">
        <f t="shared" si="4"/>
        <v>0</v>
      </c>
      <c r="O41" s="671"/>
      <c r="P41" s="5"/>
      <c r="Q41" s="101"/>
      <c r="R41" s="101"/>
      <c r="S41" s="5"/>
    </row>
    <row r="42" spans="1:19" ht="13.5">
      <c r="A42" s="5"/>
      <c r="B42" s="6" t="s">
        <v>172</v>
      </c>
      <c r="C42" s="6" t="s">
        <v>543</v>
      </c>
      <c r="D42" s="646"/>
      <c r="E42" s="671">
        <v>1.1</v>
      </c>
      <c r="F42" s="648">
        <f t="shared" si="0"/>
        <v>0</v>
      </c>
      <c r="G42" s="672">
        <v>1.2</v>
      </c>
      <c r="H42" s="672">
        <v>0.9</v>
      </c>
      <c r="I42" s="671">
        <v>0</v>
      </c>
      <c r="J42" s="671">
        <f t="shared" si="5"/>
        <v>0</v>
      </c>
      <c r="K42" s="671">
        <f t="shared" si="6"/>
        <v>0</v>
      </c>
      <c r="L42" s="672">
        <f t="shared" si="3"/>
        <v>0</v>
      </c>
      <c r="M42" s="671">
        <v>1</v>
      </c>
      <c r="N42" s="671">
        <f t="shared" si="4"/>
        <v>0</v>
      </c>
      <c r="O42" s="674" t="s">
        <v>565</v>
      </c>
      <c r="P42" s="5"/>
      <c r="Q42" s="101"/>
      <c r="R42" s="101"/>
      <c r="S42" s="5"/>
    </row>
    <row r="43" spans="1:19" ht="13.5">
      <c r="A43" s="5"/>
      <c r="B43" s="6"/>
      <c r="C43" s="6" t="s">
        <v>544</v>
      </c>
      <c r="D43" s="646"/>
      <c r="E43" s="671">
        <v>1.1</v>
      </c>
      <c r="F43" s="648">
        <f t="shared" si="0"/>
        <v>0</v>
      </c>
      <c r="G43" s="672">
        <v>1.3</v>
      </c>
      <c r="H43" s="672">
        <v>0.95</v>
      </c>
      <c r="I43" s="671">
        <v>0.1</v>
      </c>
      <c r="J43" s="671">
        <f t="shared" si="5"/>
        <v>0</v>
      </c>
      <c r="K43" s="671">
        <f t="shared" si="6"/>
        <v>0</v>
      </c>
      <c r="L43" s="672">
        <f t="shared" si="3"/>
        <v>0</v>
      </c>
      <c r="M43" s="671">
        <v>1</v>
      </c>
      <c r="N43" s="671">
        <f t="shared" si="4"/>
        <v>0</v>
      </c>
      <c r="O43" s="674" t="s">
        <v>565</v>
      </c>
      <c r="P43" s="5"/>
      <c r="Q43" s="101"/>
      <c r="R43" s="101"/>
      <c r="S43" s="5"/>
    </row>
    <row r="44" spans="1:19" ht="13.5">
      <c r="A44" s="5"/>
      <c r="B44" s="6" t="s">
        <v>173</v>
      </c>
      <c r="C44" s="6"/>
      <c r="D44" s="646"/>
      <c r="E44" s="671">
        <v>1.2</v>
      </c>
      <c r="F44" s="648">
        <f t="shared" si="0"/>
        <v>0</v>
      </c>
      <c r="G44" s="672">
        <v>0.4</v>
      </c>
      <c r="H44" s="672">
        <v>1.1</v>
      </c>
      <c r="I44" s="671">
        <v>0</v>
      </c>
      <c r="J44" s="671">
        <f t="shared" si="5"/>
        <v>0</v>
      </c>
      <c r="K44" s="671">
        <f t="shared" si="6"/>
        <v>0</v>
      </c>
      <c r="L44" s="672">
        <f t="shared" si="3"/>
        <v>0</v>
      </c>
      <c r="M44" s="671">
        <v>1</v>
      </c>
      <c r="N44" s="671">
        <f t="shared" si="4"/>
        <v>0</v>
      </c>
      <c r="O44" s="674" t="s">
        <v>565</v>
      </c>
      <c r="P44" s="5"/>
      <c r="Q44" s="101"/>
      <c r="R44" s="101"/>
      <c r="S44" s="5"/>
    </row>
    <row r="45" spans="1:19" ht="13.5">
      <c r="A45" s="5"/>
      <c r="B45" s="6" t="s">
        <v>174</v>
      </c>
      <c r="C45" s="6"/>
      <c r="D45" s="646"/>
      <c r="E45" s="671">
        <v>1.15</v>
      </c>
      <c r="F45" s="648">
        <f t="shared" si="0"/>
        <v>0</v>
      </c>
      <c r="G45" s="672">
        <v>3</v>
      </c>
      <c r="H45" s="672"/>
      <c r="I45" s="671">
        <v>0</v>
      </c>
      <c r="J45" s="671">
        <f t="shared" si="5"/>
        <v>0</v>
      </c>
      <c r="K45" s="671">
        <f t="shared" si="6"/>
        <v>0</v>
      </c>
      <c r="L45" s="672">
        <f t="shared" si="3"/>
        <v>0</v>
      </c>
      <c r="M45" s="671">
        <v>1</v>
      </c>
      <c r="N45" s="671">
        <f t="shared" si="4"/>
        <v>0</v>
      </c>
      <c r="O45" s="671"/>
      <c r="P45" s="5"/>
      <c r="Q45" s="101"/>
      <c r="R45" s="101"/>
      <c r="S45" s="5"/>
    </row>
    <row r="46" spans="1:19" ht="13.5">
      <c r="A46" s="5"/>
      <c r="B46" s="6" t="s">
        <v>175</v>
      </c>
      <c r="C46" s="6"/>
      <c r="D46" s="646"/>
      <c r="E46" s="671">
        <v>1</v>
      </c>
      <c r="F46" s="648">
        <f t="shared" si="0"/>
        <v>0</v>
      </c>
      <c r="G46" s="672">
        <v>4.3</v>
      </c>
      <c r="H46" s="673">
        <v>0.8</v>
      </c>
      <c r="I46" s="671">
        <v>0.15</v>
      </c>
      <c r="J46" s="671">
        <f t="shared" si="5"/>
        <v>0</v>
      </c>
      <c r="K46" s="671">
        <f t="shared" si="6"/>
        <v>0</v>
      </c>
      <c r="L46" s="672">
        <f t="shared" si="3"/>
        <v>0</v>
      </c>
      <c r="M46" s="671">
        <v>1</v>
      </c>
      <c r="N46" s="671">
        <f t="shared" si="4"/>
        <v>0</v>
      </c>
      <c r="O46" s="671"/>
      <c r="P46" s="5"/>
      <c r="Q46" s="101"/>
      <c r="R46" s="101"/>
      <c r="S46" s="5"/>
    </row>
    <row r="47" spans="1:19" ht="13.5">
      <c r="A47" s="5"/>
      <c r="B47" s="6" t="s">
        <v>532</v>
      </c>
      <c r="C47" s="6"/>
      <c r="D47" s="646"/>
      <c r="E47" s="671">
        <v>1.3</v>
      </c>
      <c r="F47" s="648">
        <f t="shared" si="0"/>
        <v>0</v>
      </c>
      <c r="G47" s="672">
        <v>0.3</v>
      </c>
      <c r="H47" s="673">
        <v>0.6</v>
      </c>
      <c r="I47" s="671">
        <v>0</v>
      </c>
      <c r="J47" s="671">
        <f t="shared" si="5"/>
        <v>0</v>
      </c>
      <c r="K47" s="671">
        <f t="shared" si="6"/>
        <v>0</v>
      </c>
      <c r="L47" s="672">
        <f t="shared" si="3"/>
        <v>0</v>
      </c>
      <c r="M47" s="671">
        <v>1</v>
      </c>
      <c r="N47" s="671">
        <f t="shared" si="4"/>
        <v>0</v>
      </c>
      <c r="O47" s="671">
        <v>15</v>
      </c>
      <c r="P47" s="5"/>
      <c r="Q47" s="101"/>
      <c r="R47" s="101"/>
      <c r="S47" s="5"/>
    </row>
    <row r="48" spans="1:19" ht="13.5">
      <c r="A48" s="5"/>
      <c r="B48" s="6" t="s">
        <v>177</v>
      </c>
      <c r="C48" s="6"/>
      <c r="D48" s="646"/>
      <c r="E48" s="671">
        <v>1</v>
      </c>
      <c r="F48" s="648">
        <f t="shared" si="0"/>
        <v>0</v>
      </c>
      <c r="G48" s="672">
        <v>2</v>
      </c>
      <c r="H48" s="672">
        <v>0.6</v>
      </c>
      <c r="I48" s="671">
        <v>0</v>
      </c>
      <c r="J48" s="676">
        <f t="shared" si="5"/>
        <v>0</v>
      </c>
      <c r="K48" s="676">
        <f t="shared" si="6"/>
        <v>0</v>
      </c>
      <c r="L48" s="672">
        <f t="shared" si="3"/>
        <v>0</v>
      </c>
      <c r="M48" s="671">
        <v>1</v>
      </c>
      <c r="N48" s="671">
        <f t="shared" si="4"/>
        <v>0</v>
      </c>
      <c r="O48" s="671">
        <v>20</v>
      </c>
      <c r="P48" s="5"/>
      <c r="Q48" s="101"/>
      <c r="R48" s="101"/>
      <c r="S48" s="5"/>
    </row>
    <row r="49" spans="1:19" ht="13.5">
      <c r="A49" s="5"/>
      <c r="B49" s="6" t="s">
        <v>178</v>
      </c>
      <c r="C49" s="6"/>
      <c r="D49" s="646"/>
      <c r="E49" s="671">
        <v>1.3</v>
      </c>
      <c r="F49" s="648">
        <f t="shared" si="0"/>
        <v>0</v>
      </c>
      <c r="G49" s="672">
        <v>0.5</v>
      </c>
      <c r="H49" s="672"/>
      <c r="I49" s="671">
        <v>0</v>
      </c>
      <c r="J49" s="671">
        <f t="shared" si="5"/>
        <v>0</v>
      </c>
      <c r="K49" s="671">
        <f t="shared" si="6"/>
        <v>0</v>
      </c>
      <c r="L49" s="672">
        <f t="shared" si="3"/>
        <v>0</v>
      </c>
      <c r="M49" s="671">
        <v>1</v>
      </c>
      <c r="N49" s="671">
        <f t="shared" si="4"/>
        <v>0</v>
      </c>
      <c r="O49" s="671"/>
      <c r="P49" s="5"/>
      <c r="Q49" s="101"/>
      <c r="R49" s="101"/>
      <c r="S49" s="5"/>
    </row>
    <row r="50" spans="1:19" ht="13.5">
      <c r="A50" s="5"/>
      <c r="B50" s="6" t="s">
        <v>179</v>
      </c>
      <c r="C50" s="6"/>
      <c r="D50" s="646"/>
      <c r="E50" s="671">
        <v>1</v>
      </c>
      <c r="F50" s="648">
        <f t="shared" si="0"/>
        <v>0</v>
      </c>
      <c r="G50" s="673">
        <v>1</v>
      </c>
      <c r="H50" s="672"/>
      <c r="I50" s="671">
        <v>0</v>
      </c>
      <c r="J50" s="671">
        <f t="shared" si="5"/>
        <v>0</v>
      </c>
      <c r="K50" s="671">
        <f t="shared" si="6"/>
        <v>0</v>
      </c>
      <c r="L50" s="672">
        <f t="shared" si="3"/>
        <v>0</v>
      </c>
      <c r="M50" s="671">
        <v>1</v>
      </c>
      <c r="N50" s="671">
        <f t="shared" si="4"/>
        <v>0</v>
      </c>
      <c r="O50" s="674" t="s">
        <v>565</v>
      </c>
      <c r="P50" s="5"/>
      <c r="Q50" s="101"/>
      <c r="R50" s="101"/>
      <c r="S50" s="5"/>
    </row>
    <row r="51" spans="1:19" ht="13.5">
      <c r="A51" s="5"/>
      <c r="B51" s="6" t="s">
        <v>180</v>
      </c>
      <c r="C51" s="6" t="s">
        <v>545</v>
      </c>
      <c r="D51" s="646"/>
      <c r="E51" s="671">
        <v>1.4</v>
      </c>
      <c r="F51" s="648">
        <f t="shared" si="0"/>
        <v>0</v>
      </c>
      <c r="G51" s="672">
        <v>0.2</v>
      </c>
      <c r="H51" s="673">
        <v>0.5</v>
      </c>
      <c r="I51" s="671">
        <v>0</v>
      </c>
      <c r="J51" s="671">
        <f t="shared" si="5"/>
        <v>0</v>
      </c>
      <c r="K51" s="671">
        <f t="shared" si="6"/>
        <v>0</v>
      </c>
      <c r="L51" s="672">
        <f t="shared" si="3"/>
        <v>0</v>
      </c>
      <c r="M51" s="671">
        <v>1</v>
      </c>
      <c r="N51" s="671">
        <f t="shared" si="4"/>
        <v>0</v>
      </c>
      <c r="O51" s="671">
        <v>30</v>
      </c>
      <c r="P51" s="5"/>
      <c r="Q51" s="101"/>
      <c r="R51" s="101"/>
      <c r="S51" s="5"/>
    </row>
    <row r="52" spans="1:19" ht="13.5">
      <c r="A52" s="5"/>
      <c r="B52" s="6" t="s">
        <v>181</v>
      </c>
      <c r="C52" s="6"/>
      <c r="D52" s="646"/>
      <c r="E52" s="671">
        <v>1.5</v>
      </c>
      <c r="F52" s="648">
        <f aca="true" t="shared" si="7" ref="F52:F68">IF(E52=0,0,D52/E52)</f>
        <v>0</v>
      </c>
      <c r="G52" s="672">
        <v>0.45</v>
      </c>
      <c r="H52" s="672">
        <v>0.6</v>
      </c>
      <c r="I52" s="671">
        <v>0.15</v>
      </c>
      <c r="J52" s="671">
        <f t="shared" si="5"/>
        <v>0</v>
      </c>
      <c r="K52" s="671">
        <f t="shared" si="6"/>
        <v>0</v>
      </c>
      <c r="L52" s="672">
        <f aca="true" t="shared" si="8" ref="L52:L68">I52*F52</f>
        <v>0</v>
      </c>
      <c r="M52" s="671">
        <v>1</v>
      </c>
      <c r="N52" s="671">
        <f aca="true" t="shared" si="9" ref="N52:N81">F52*M52</f>
        <v>0</v>
      </c>
      <c r="O52" s="671">
        <v>30</v>
      </c>
      <c r="P52" s="5"/>
      <c r="Q52" s="101"/>
      <c r="R52" s="101"/>
      <c r="S52" s="5"/>
    </row>
    <row r="53" spans="1:19" ht="13.5">
      <c r="A53" s="5"/>
      <c r="B53" s="6" t="s">
        <v>182</v>
      </c>
      <c r="C53" s="6" t="s">
        <v>543</v>
      </c>
      <c r="D53" s="646"/>
      <c r="E53" s="671">
        <v>1.1</v>
      </c>
      <c r="F53" s="648">
        <f t="shared" si="7"/>
        <v>0</v>
      </c>
      <c r="G53" s="672">
        <v>0.7</v>
      </c>
      <c r="H53" s="672">
        <v>0.35</v>
      </c>
      <c r="I53" s="671">
        <v>0.09</v>
      </c>
      <c r="J53" s="671">
        <f t="shared" si="5"/>
        <v>0</v>
      </c>
      <c r="K53" s="671">
        <f t="shared" si="6"/>
        <v>0</v>
      </c>
      <c r="L53" s="672">
        <f t="shared" si="8"/>
        <v>0</v>
      </c>
      <c r="M53" s="671">
        <v>1</v>
      </c>
      <c r="N53" s="671">
        <f t="shared" si="9"/>
        <v>0</v>
      </c>
      <c r="O53" s="674" t="s">
        <v>567</v>
      </c>
      <c r="P53" s="5"/>
      <c r="Q53" s="101"/>
      <c r="R53" s="101"/>
      <c r="S53" s="5"/>
    </row>
    <row r="54" spans="1:19" ht="13.5">
      <c r="A54" s="5"/>
      <c r="B54" s="8"/>
      <c r="C54" s="6" t="s">
        <v>544</v>
      </c>
      <c r="D54" s="646"/>
      <c r="E54" s="671">
        <v>1.1</v>
      </c>
      <c r="F54" s="648">
        <f t="shared" si="7"/>
        <v>0</v>
      </c>
      <c r="G54" s="672">
        <v>0.7</v>
      </c>
      <c r="H54" s="672">
        <v>0.35</v>
      </c>
      <c r="I54" s="671">
        <v>0.15</v>
      </c>
      <c r="J54" s="671">
        <f t="shared" si="5"/>
        <v>0</v>
      </c>
      <c r="K54" s="671">
        <f t="shared" si="6"/>
        <v>0</v>
      </c>
      <c r="L54" s="672">
        <f t="shared" si="8"/>
        <v>0</v>
      </c>
      <c r="M54" s="671">
        <v>1</v>
      </c>
      <c r="N54" s="671">
        <f t="shared" si="9"/>
        <v>0</v>
      </c>
      <c r="O54" s="674" t="s">
        <v>567</v>
      </c>
      <c r="P54" s="5"/>
      <c r="Q54" s="101"/>
      <c r="R54" s="101"/>
      <c r="S54" s="5"/>
    </row>
    <row r="55" spans="1:19" ht="13.5">
      <c r="A55" s="5"/>
      <c r="B55" s="6" t="s">
        <v>183</v>
      </c>
      <c r="C55" s="6"/>
      <c r="D55" s="646"/>
      <c r="E55" s="671">
        <v>1</v>
      </c>
      <c r="F55" s="648">
        <f t="shared" si="7"/>
        <v>0</v>
      </c>
      <c r="G55" s="672">
        <v>0.95</v>
      </c>
      <c r="H55" s="672">
        <v>0.75</v>
      </c>
      <c r="I55" s="671">
        <v>0.15</v>
      </c>
      <c r="J55" s="671">
        <f t="shared" si="5"/>
        <v>0</v>
      </c>
      <c r="K55" s="671">
        <f t="shared" si="6"/>
        <v>0</v>
      </c>
      <c r="L55" s="672">
        <f t="shared" si="8"/>
        <v>0</v>
      </c>
      <c r="M55" s="671">
        <v>1</v>
      </c>
      <c r="N55" s="671">
        <f t="shared" si="9"/>
        <v>0</v>
      </c>
      <c r="O55" s="671"/>
      <c r="P55" s="5"/>
      <c r="Q55" s="101"/>
      <c r="R55" s="101"/>
      <c r="S55" s="5"/>
    </row>
    <row r="56" spans="1:19" ht="13.5">
      <c r="A56" s="5"/>
      <c r="B56" s="6" t="s">
        <v>533</v>
      </c>
      <c r="C56" s="6"/>
      <c r="D56" s="646"/>
      <c r="E56" s="671">
        <v>1.4</v>
      </c>
      <c r="F56" s="648">
        <f t="shared" si="7"/>
        <v>0</v>
      </c>
      <c r="G56" s="672">
        <v>0.1</v>
      </c>
      <c r="H56" s="672"/>
      <c r="I56" s="671">
        <v>0</v>
      </c>
      <c r="J56" s="671">
        <f t="shared" si="5"/>
        <v>0</v>
      </c>
      <c r="K56" s="671">
        <f t="shared" si="6"/>
        <v>0</v>
      </c>
      <c r="L56" s="672">
        <f t="shared" si="8"/>
        <v>0</v>
      </c>
      <c r="M56" s="671">
        <v>1</v>
      </c>
      <c r="N56" s="671">
        <f t="shared" si="9"/>
        <v>0</v>
      </c>
      <c r="O56" s="671"/>
      <c r="P56" s="5"/>
      <c r="Q56" s="101"/>
      <c r="R56" s="101"/>
      <c r="S56" s="5"/>
    </row>
    <row r="57" spans="1:19" ht="13.5">
      <c r="A57" s="5"/>
      <c r="B57" s="6" t="s">
        <v>186</v>
      </c>
      <c r="C57" s="6"/>
      <c r="D57" s="646"/>
      <c r="E57" s="671">
        <v>1</v>
      </c>
      <c r="F57" s="648">
        <f t="shared" si="7"/>
        <v>0</v>
      </c>
      <c r="G57" s="672">
        <v>3</v>
      </c>
      <c r="H57" s="673">
        <v>0.5</v>
      </c>
      <c r="I57" s="671">
        <v>0</v>
      </c>
      <c r="J57" s="671">
        <f t="shared" si="5"/>
        <v>0</v>
      </c>
      <c r="K57" s="671">
        <f t="shared" si="6"/>
        <v>0</v>
      </c>
      <c r="L57" s="672">
        <f t="shared" si="8"/>
        <v>0</v>
      </c>
      <c r="M57" s="671">
        <v>1</v>
      </c>
      <c r="N57" s="671">
        <f t="shared" si="9"/>
        <v>0</v>
      </c>
      <c r="O57" s="671">
        <v>15</v>
      </c>
      <c r="P57" s="5"/>
      <c r="Q57" s="101"/>
      <c r="R57" s="101"/>
      <c r="S57" s="5"/>
    </row>
    <row r="58" spans="1:19" ht="13.5">
      <c r="A58" s="5"/>
      <c r="B58" s="6" t="s">
        <v>187</v>
      </c>
      <c r="C58" s="6" t="s">
        <v>543</v>
      </c>
      <c r="D58" s="646"/>
      <c r="E58" s="671">
        <v>1.2</v>
      </c>
      <c r="F58" s="648">
        <f t="shared" si="7"/>
        <v>0</v>
      </c>
      <c r="G58" s="672">
        <v>0.65</v>
      </c>
      <c r="H58" s="672">
        <v>0.35</v>
      </c>
      <c r="I58" s="671">
        <v>0.09</v>
      </c>
      <c r="J58" s="671">
        <f t="shared" si="5"/>
        <v>0</v>
      </c>
      <c r="K58" s="671">
        <f t="shared" si="6"/>
        <v>0</v>
      </c>
      <c r="L58" s="672">
        <f t="shared" si="8"/>
        <v>0</v>
      </c>
      <c r="M58" s="671">
        <v>1</v>
      </c>
      <c r="N58" s="671">
        <f t="shared" si="9"/>
        <v>0</v>
      </c>
      <c r="O58" s="671">
        <v>30</v>
      </c>
      <c r="P58" s="5"/>
      <c r="Q58" s="101"/>
      <c r="R58" s="101"/>
      <c r="S58" s="5"/>
    </row>
    <row r="59" spans="1:19" ht="13.5">
      <c r="A59" s="5"/>
      <c r="B59" s="6"/>
      <c r="C59" s="6" t="s">
        <v>544</v>
      </c>
      <c r="D59" s="646"/>
      <c r="E59" s="671">
        <v>1.2</v>
      </c>
      <c r="F59" s="648">
        <f t="shared" si="7"/>
        <v>0</v>
      </c>
      <c r="G59" s="672">
        <v>0.65</v>
      </c>
      <c r="H59" s="672">
        <v>0.35</v>
      </c>
      <c r="I59" s="671">
        <v>0.15</v>
      </c>
      <c r="J59" s="671">
        <f t="shared" si="5"/>
        <v>0</v>
      </c>
      <c r="K59" s="671">
        <f t="shared" si="6"/>
        <v>0</v>
      </c>
      <c r="L59" s="672">
        <f t="shared" si="8"/>
        <v>0</v>
      </c>
      <c r="M59" s="671">
        <v>1</v>
      </c>
      <c r="N59" s="671">
        <f t="shared" si="9"/>
        <v>0</v>
      </c>
      <c r="O59" s="671">
        <v>31</v>
      </c>
      <c r="P59" s="5"/>
      <c r="Q59" s="101"/>
      <c r="R59" s="101"/>
      <c r="S59" s="5"/>
    </row>
    <row r="60" spans="1:19" ht="13.5">
      <c r="A60" s="5"/>
      <c r="B60" s="9"/>
      <c r="C60" s="100" t="s">
        <v>229</v>
      </c>
      <c r="D60" s="646"/>
      <c r="E60" s="671">
        <v>1</v>
      </c>
      <c r="F60" s="648">
        <f t="shared" si="7"/>
        <v>0</v>
      </c>
      <c r="G60" s="672">
        <v>1</v>
      </c>
      <c r="H60" s="673">
        <v>1.05</v>
      </c>
      <c r="I60" s="671">
        <v>3</v>
      </c>
      <c r="J60" s="671">
        <f t="shared" si="5"/>
        <v>0</v>
      </c>
      <c r="K60" s="671">
        <f t="shared" si="6"/>
        <v>0</v>
      </c>
      <c r="L60" s="672">
        <f t="shared" si="8"/>
        <v>0</v>
      </c>
      <c r="M60" s="671">
        <v>2</v>
      </c>
      <c r="N60" s="671">
        <f t="shared" si="9"/>
        <v>0</v>
      </c>
      <c r="O60" s="674" t="s">
        <v>568</v>
      </c>
      <c r="P60" s="5"/>
      <c r="Q60" s="101"/>
      <c r="R60" s="101"/>
      <c r="S60" s="5"/>
    </row>
    <row r="61" spans="1:19" ht="13.5">
      <c r="A61" s="5"/>
      <c r="B61" s="6" t="s">
        <v>188</v>
      </c>
      <c r="C61" s="6"/>
      <c r="D61" s="646"/>
      <c r="E61" s="671">
        <v>1.2</v>
      </c>
      <c r="F61" s="648">
        <f t="shared" si="7"/>
        <v>0</v>
      </c>
      <c r="G61" s="672">
        <v>0.3</v>
      </c>
      <c r="H61" s="672">
        <v>0.8</v>
      </c>
      <c r="I61" s="671">
        <v>0</v>
      </c>
      <c r="J61" s="671">
        <f t="shared" si="5"/>
        <v>0</v>
      </c>
      <c r="K61" s="671">
        <f t="shared" si="6"/>
        <v>0</v>
      </c>
      <c r="L61" s="672">
        <f t="shared" si="8"/>
        <v>0</v>
      </c>
      <c r="M61" s="671">
        <v>1</v>
      </c>
      <c r="N61" s="671">
        <f t="shared" si="9"/>
        <v>0</v>
      </c>
      <c r="O61" s="674" t="s">
        <v>567</v>
      </c>
      <c r="P61" s="5"/>
      <c r="Q61" s="101"/>
      <c r="R61" s="101"/>
      <c r="S61" s="5"/>
    </row>
    <row r="62" spans="1:19" ht="13.5">
      <c r="A62" s="5"/>
      <c r="B62" s="6" t="s">
        <v>534</v>
      </c>
      <c r="C62" s="6"/>
      <c r="D62" s="646"/>
      <c r="E62" s="671">
        <v>1.15</v>
      </c>
      <c r="F62" s="648">
        <f t="shared" si="7"/>
        <v>0</v>
      </c>
      <c r="G62" s="672">
        <v>0.2</v>
      </c>
      <c r="H62" s="673">
        <v>0.5</v>
      </c>
      <c r="I62" s="671">
        <v>0</v>
      </c>
      <c r="J62" s="671">
        <f t="shared" si="5"/>
        <v>0</v>
      </c>
      <c r="K62" s="671">
        <f t="shared" si="6"/>
        <v>0</v>
      </c>
      <c r="L62" s="672">
        <f t="shared" si="8"/>
        <v>0</v>
      </c>
      <c r="M62" s="671">
        <v>0.6667</v>
      </c>
      <c r="N62" s="671">
        <f t="shared" si="9"/>
        <v>0</v>
      </c>
      <c r="O62" s="671"/>
      <c r="P62" s="5"/>
      <c r="Q62" s="101"/>
      <c r="R62" s="101"/>
      <c r="S62" s="5"/>
    </row>
    <row r="63" spans="1:19" ht="13.5">
      <c r="A63" s="5"/>
      <c r="B63" s="6" t="s">
        <v>189</v>
      </c>
      <c r="C63" s="6"/>
      <c r="D63" s="646"/>
      <c r="E63" s="671">
        <v>1.4</v>
      </c>
      <c r="F63" s="648">
        <f t="shared" si="7"/>
        <v>0</v>
      </c>
      <c r="G63" s="672">
        <v>1.1</v>
      </c>
      <c r="H63" s="672">
        <v>0.1</v>
      </c>
      <c r="I63" s="671">
        <v>0</v>
      </c>
      <c r="J63" s="671">
        <f t="shared" si="5"/>
        <v>0</v>
      </c>
      <c r="K63" s="671">
        <f t="shared" si="6"/>
        <v>0</v>
      </c>
      <c r="L63" s="672">
        <f t="shared" si="8"/>
        <v>0</v>
      </c>
      <c r="M63" s="671">
        <v>1</v>
      </c>
      <c r="N63" s="671">
        <f t="shared" si="9"/>
        <v>0</v>
      </c>
      <c r="O63" s="671">
        <v>35</v>
      </c>
      <c r="P63" s="5"/>
      <c r="Q63" s="101"/>
      <c r="R63" s="101"/>
      <c r="S63" s="5"/>
    </row>
    <row r="64" spans="1:19" ht="13.5">
      <c r="A64" s="5"/>
      <c r="B64" s="6" t="s">
        <v>190</v>
      </c>
      <c r="C64" s="6" t="s">
        <v>543</v>
      </c>
      <c r="D64" s="646">
        <v>520</v>
      </c>
      <c r="E64" s="671">
        <v>1.04</v>
      </c>
      <c r="F64" s="648">
        <f t="shared" si="7"/>
        <v>500</v>
      </c>
      <c r="G64" s="672">
        <v>1.6</v>
      </c>
      <c r="H64" s="672">
        <v>0.8</v>
      </c>
      <c r="I64" s="671">
        <v>0</v>
      </c>
      <c r="J64" s="671">
        <f t="shared" si="5"/>
        <v>4.3264000000000005</v>
      </c>
      <c r="K64" s="671">
        <f t="shared" si="6"/>
        <v>8.652800000000001</v>
      </c>
      <c r="L64" s="672">
        <f t="shared" si="8"/>
        <v>0</v>
      </c>
      <c r="M64" s="671">
        <v>1</v>
      </c>
      <c r="N64" s="671">
        <f t="shared" si="9"/>
        <v>500</v>
      </c>
      <c r="O64" s="674" t="s">
        <v>564</v>
      </c>
      <c r="P64" s="5"/>
      <c r="Q64" s="101"/>
      <c r="R64" s="101"/>
      <c r="S64" s="5"/>
    </row>
    <row r="65" spans="1:19" ht="13.5">
      <c r="A65" s="5"/>
      <c r="B65" s="6"/>
      <c r="C65" s="6" t="s">
        <v>544</v>
      </c>
      <c r="D65" s="646"/>
      <c r="E65" s="671">
        <v>1.04</v>
      </c>
      <c r="F65" s="648">
        <f t="shared" si="7"/>
        <v>0</v>
      </c>
      <c r="G65" s="672">
        <v>1.6</v>
      </c>
      <c r="H65" s="672">
        <v>0.8</v>
      </c>
      <c r="I65" s="671">
        <v>0.12</v>
      </c>
      <c r="J65" s="671">
        <f t="shared" si="5"/>
        <v>0</v>
      </c>
      <c r="K65" s="671">
        <f t="shared" si="6"/>
        <v>0</v>
      </c>
      <c r="L65" s="672">
        <f t="shared" si="8"/>
        <v>0</v>
      </c>
      <c r="M65" s="671">
        <v>1</v>
      </c>
      <c r="N65" s="671">
        <f t="shared" si="9"/>
        <v>0</v>
      </c>
      <c r="O65" s="674" t="s">
        <v>564</v>
      </c>
      <c r="P65" s="5"/>
      <c r="Q65" s="101"/>
      <c r="R65" s="101"/>
      <c r="S65" s="5"/>
    </row>
    <row r="66" spans="1:19" ht="13.5">
      <c r="A66" s="5"/>
      <c r="B66" s="6" t="s">
        <v>191</v>
      </c>
      <c r="C66" s="6" t="s">
        <v>546</v>
      </c>
      <c r="D66" s="646"/>
      <c r="E66" s="671">
        <v>1</v>
      </c>
      <c r="F66" s="648">
        <f t="shared" si="7"/>
        <v>0</v>
      </c>
      <c r="G66" s="672">
        <v>1.3</v>
      </c>
      <c r="H66" s="673">
        <v>0.9</v>
      </c>
      <c r="I66" s="671">
        <v>1</v>
      </c>
      <c r="J66" s="671">
        <f t="shared" si="5"/>
        <v>0</v>
      </c>
      <c r="K66" s="671">
        <f t="shared" si="6"/>
        <v>0</v>
      </c>
      <c r="L66" s="672">
        <f t="shared" si="8"/>
        <v>0</v>
      </c>
      <c r="M66" s="671">
        <v>1</v>
      </c>
      <c r="N66" s="671">
        <f t="shared" si="9"/>
        <v>0</v>
      </c>
      <c r="O66" s="671">
        <v>35</v>
      </c>
      <c r="P66" s="5"/>
      <c r="Q66" s="101"/>
      <c r="R66" s="101"/>
      <c r="S66" s="5"/>
    </row>
    <row r="67" spans="1:19" ht="13.5">
      <c r="A67" s="5"/>
      <c r="B67" s="6" t="s">
        <v>192</v>
      </c>
      <c r="C67" s="6" t="s">
        <v>543</v>
      </c>
      <c r="D67" s="646"/>
      <c r="E67" s="671">
        <v>1.4</v>
      </c>
      <c r="F67" s="648">
        <f t="shared" si="7"/>
        <v>0</v>
      </c>
      <c r="G67" s="672">
        <v>0.95</v>
      </c>
      <c r="H67" s="672">
        <v>1.1</v>
      </c>
      <c r="I67" s="671">
        <v>0.15</v>
      </c>
      <c r="J67" s="671">
        <f t="shared" si="5"/>
        <v>0</v>
      </c>
      <c r="K67" s="671">
        <f t="shared" si="6"/>
        <v>0</v>
      </c>
      <c r="L67" s="672">
        <f t="shared" si="8"/>
        <v>0</v>
      </c>
      <c r="M67" s="671">
        <v>1</v>
      </c>
      <c r="N67" s="671">
        <f t="shared" si="9"/>
        <v>0</v>
      </c>
      <c r="O67" s="674" t="s">
        <v>563</v>
      </c>
      <c r="P67" s="5"/>
      <c r="Q67" s="101"/>
      <c r="R67" s="101"/>
      <c r="S67" s="5"/>
    </row>
    <row r="68" spans="1:19" ht="13.5">
      <c r="A68" s="5"/>
      <c r="B68" s="6"/>
      <c r="C68" s="6" t="s">
        <v>544</v>
      </c>
      <c r="D68" s="646"/>
      <c r="E68" s="671">
        <v>1.4</v>
      </c>
      <c r="F68" s="648">
        <f t="shared" si="7"/>
        <v>0</v>
      </c>
      <c r="G68" s="672">
        <v>0.95</v>
      </c>
      <c r="H68" s="672">
        <v>1.1</v>
      </c>
      <c r="I68" s="671">
        <v>0.3</v>
      </c>
      <c r="J68" s="671">
        <f t="shared" si="5"/>
        <v>0</v>
      </c>
      <c r="K68" s="671">
        <f t="shared" si="6"/>
        <v>0</v>
      </c>
      <c r="L68" s="672">
        <f t="shared" si="8"/>
        <v>0</v>
      </c>
      <c r="M68" s="671">
        <v>1</v>
      </c>
      <c r="N68" s="671">
        <f t="shared" si="9"/>
        <v>0</v>
      </c>
      <c r="O68" s="674" t="s">
        <v>563</v>
      </c>
      <c r="P68" s="5"/>
      <c r="Q68" s="101"/>
      <c r="R68" s="101"/>
      <c r="S68" s="5"/>
    </row>
    <row r="69" spans="1:19" ht="13.5">
      <c r="A69" s="5"/>
      <c r="B69" s="6"/>
      <c r="C69" s="6"/>
      <c r="D69" s="646"/>
      <c r="E69" s="671"/>
      <c r="F69" s="648"/>
      <c r="G69" s="672"/>
      <c r="H69" s="677"/>
      <c r="I69" s="671"/>
      <c r="J69" s="671"/>
      <c r="K69" s="671"/>
      <c r="L69" s="672"/>
      <c r="M69" s="671"/>
      <c r="N69" s="671">
        <f t="shared" si="9"/>
        <v>0</v>
      </c>
      <c r="O69" s="671"/>
      <c r="P69" s="5"/>
      <c r="Q69" s="101"/>
      <c r="R69" s="101"/>
      <c r="S69" s="5"/>
    </row>
    <row r="70" spans="1:19" ht="13.5">
      <c r="A70" s="5"/>
      <c r="B70" s="6" t="s">
        <v>194</v>
      </c>
      <c r="C70" s="6"/>
      <c r="D70" s="646"/>
      <c r="E70" s="671">
        <v>1</v>
      </c>
      <c r="F70" s="648">
        <f aca="true" t="shared" si="10" ref="F70:F81">IF(E70=0,0,D70/E70)</f>
        <v>0</v>
      </c>
      <c r="G70" s="672">
        <v>1.5</v>
      </c>
      <c r="H70" s="672">
        <v>0.45</v>
      </c>
      <c r="I70" s="671">
        <v>0</v>
      </c>
      <c r="J70" s="671">
        <f aca="true" t="shared" si="11" ref="J70:J81">0.01*D70*E70*H70</f>
        <v>0</v>
      </c>
      <c r="K70" s="671">
        <f aca="true" t="shared" si="12" ref="K70:K81">0.01*D70*E70*G70</f>
        <v>0</v>
      </c>
      <c r="L70" s="672">
        <f aca="true" t="shared" si="13" ref="L70:L81">I70*F70</f>
        <v>0</v>
      </c>
      <c r="M70" s="671">
        <v>0.9</v>
      </c>
      <c r="N70" s="671">
        <f t="shared" si="9"/>
        <v>0</v>
      </c>
      <c r="O70" s="671">
        <v>10</v>
      </c>
      <c r="P70" s="5"/>
      <c r="Q70" s="101"/>
      <c r="R70" s="101"/>
      <c r="S70" s="5"/>
    </row>
    <row r="71" spans="1:19" ht="13.5">
      <c r="A71" s="5"/>
      <c r="B71" s="6" t="s">
        <v>195</v>
      </c>
      <c r="C71" s="6"/>
      <c r="D71" s="646"/>
      <c r="E71" s="671">
        <v>1</v>
      </c>
      <c r="F71" s="648">
        <f t="shared" si="10"/>
        <v>0</v>
      </c>
      <c r="G71" s="672">
        <v>2.3</v>
      </c>
      <c r="H71" s="672">
        <v>0.55</v>
      </c>
      <c r="I71" s="671">
        <v>0.4</v>
      </c>
      <c r="J71" s="671">
        <f t="shared" si="11"/>
        <v>0</v>
      </c>
      <c r="K71" s="671">
        <f t="shared" si="12"/>
        <v>0</v>
      </c>
      <c r="L71" s="672">
        <f t="shared" si="13"/>
        <v>0</v>
      </c>
      <c r="M71" s="671">
        <v>1.25</v>
      </c>
      <c r="N71" s="671">
        <f t="shared" si="9"/>
        <v>0</v>
      </c>
      <c r="O71" s="674" t="s">
        <v>563</v>
      </c>
      <c r="P71" s="5"/>
      <c r="Q71" s="101"/>
      <c r="R71" s="101"/>
      <c r="S71" s="5"/>
    </row>
    <row r="72" spans="1:19" ht="13.5">
      <c r="A72" s="5"/>
      <c r="B72" s="79" t="s">
        <v>535</v>
      </c>
      <c r="C72" s="6"/>
      <c r="D72" s="646"/>
      <c r="E72" s="671">
        <v>1</v>
      </c>
      <c r="F72" s="648">
        <f t="shared" si="10"/>
        <v>0</v>
      </c>
      <c r="G72" s="672">
        <v>1.5</v>
      </c>
      <c r="H72" s="672">
        <v>0.45</v>
      </c>
      <c r="I72" s="671">
        <v>0</v>
      </c>
      <c r="J72" s="671">
        <f t="shared" si="11"/>
        <v>0</v>
      </c>
      <c r="K72" s="671">
        <f t="shared" si="12"/>
        <v>0</v>
      </c>
      <c r="L72" s="672">
        <f t="shared" si="13"/>
        <v>0</v>
      </c>
      <c r="M72" s="671">
        <v>1</v>
      </c>
      <c r="N72" s="671">
        <f t="shared" si="9"/>
        <v>0</v>
      </c>
      <c r="O72" s="671">
        <v>25</v>
      </c>
      <c r="P72" s="5"/>
      <c r="Q72" s="101"/>
      <c r="R72" s="101"/>
      <c r="S72" s="5"/>
    </row>
    <row r="73" spans="1:19" ht="13.5">
      <c r="A73" s="5"/>
      <c r="B73" s="6" t="s">
        <v>197</v>
      </c>
      <c r="C73" s="6"/>
      <c r="D73" s="646"/>
      <c r="E73" s="671">
        <v>1.25</v>
      </c>
      <c r="F73" s="648">
        <f t="shared" si="10"/>
        <v>0</v>
      </c>
      <c r="G73" s="673">
        <v>2</v>
      </c>
      <c r="H73" s="672"/>
      <c r="I73" s="671">
        <v>0</v>
      </c>
      <c r="J73" s="671">
        <f t="shared" si="11"/>
        <v>0</v>
      </c>
      <c r="K73" s="671">
        <f t="shared" si="12"/>
        <v>0</v>
      </c>
      <c r="L73" s="672">
        <f t="shared" si="13"/>
        <v>0</v>
      </c>
      <c r="M73" s="671">
        <v>1</v>
      </c>
      <c r="N73" s="671">
        <f t="shared" si="9"/>
        <v>0</v>
      </c>
      <c r="O73" s="671"/>
      <c r="P73" s="5"/>
      <c r="Q73" s="101"/>
      <c r="R73" s="101"/>
      <c r="S73" s="5"/>
    </row>
    <row r="74" spans="1:19" ht="13.5">
      <c r="A74" s="5"/>
      <c r="B74" s="6" t="s">
        <v>198</v>
      </c>
      <c r="C74" s="6"/>
      <c r="D74" s="646"/>
      <c r="E74" s="671">
        <v>1</v>
      </c>
      <c r="F74" s="648">
        <f t="shared" si="10"/>
        <v>0</v>
      </c>
      <c r="G74" s="672">
        <v>1</v>
      </c>
      <c r="H74" s="672">
        <v>0.5</v>
      </c>
      <c r="I74" s="671">
        <v>0</v>
      </c>
      <c r="J74" s="671">
        <f t="shared" si="11"/>
        <v>0</v>
      </c>
      <c r="K74" s="671">
        <f t="shared" si="12"/>
        <v>0</v>
      </c>
      <c r="L74" s="672">
        <f t="shared" si="13"/>
        <v>0</v>
      </c>
      <c r="M74" s="671">
        <v>0.875</v>
      </c>
      <c r="N74" s="671">
        <f t="shared" si="9"/>
        <v>0</v>
      </c>
      <c r="O74" s="674" t="s">
        <v>569</v>
      </c>
      <c r="P74" s="5"/>
      <c r="Q74" s="101"/>
      <c r="R74" s="101"/>
      <c r="S74" s="5"/>
    </row>
    <row r="75" spans="1:19" ht="13.5">
      <c r="A75" s="5"/>
      <c r="B75" s="6" t="s">
        <v>199</v>
      </c>
      <c r="C75" s="6"/>
      <c r="D75" s="646"/>
      <c r="E75" s="671">
        <v>1</v>
      </c>
      <c r="F75" s="648">
        <f t="shared" si="10"/>
        <v>0</v>
      </c>
      <c r="G75" s="672">
        <v>1.3</v>
      </c>
      <c r="H75" s="673">
        <v>0.75</v>
      </c>
      <c r="I75" s="671">
        <v>0.15</v>
      </c>
      <c r="J75" s="671">
        <f t="shared" si="11"/>
        <v>0</v>
      </c>
      <c r="K75" s="671">
        <f t="shared" si="12"/>
        <v>0</v>
      </c>
      <c r="L75" s="672">
        <f t="shared" si="13"/>
        <v>0</v>
      </c>
      <c r="M75" s="671">
        <v>1</v>
      </c>
      <c r="N75" s="671">
        <f t="shared" si="9"/>
        <v>0</v>
      </c>
      <c r="O75" s="671"/>
      <c r="P75" s="5"/>
      <c r="Q75" s="101"/>
      <c r="R75" s="101"/>
      <c r="S75" s="5"/>
    </row>
    <row r="76" spans="1:19" ht="13.5">
      <c r="A76" s="5"/>
      <c r="B76" s="6" t="s">
        <v>200</v>
      </c>
      <c r="C76" s="6"/>
      <c r="D76" s="678"/>
      <c r="E76" s="671">
        <v>1.4</v>
      </c>
      <c r="F76" s="648">
        <f t="shared" si="10"/>
        <v>0</v>
      </c>
      <c r="G76" s="672">
        <v>0.2</v>
      </c>
      <c r="H76" s="673">
        <v>0.25</v>
      </c>
      <c r="I76" s="671">
        <v>0</v>
      </c>
      <c r="J76" s="671">
        <f t="shared" si="11"/>
        <v>0</v>
      </c>
      <c r="K76" s="671">
        <f t="shared" si="12"/>
        <v>0</v>
      </c>
      <c r="L76" s="672">
        <f t="shared" si="13"/>
        <v>0</v>
      </c>
      <c r="M76" s="671">
        <v>0.4</v>
      </c>
      <c r="N76" s="671">
        <f t="shared" si="9"/>
        <v>0</v>
      </c>
      <c r="O76" s="671"/>
      <c r="P76" s="5"/>
      <c r="Q76" s="101"/>
      <c r="R76" s="101"/>
      <c r="S76" s="5"/>
    </row>
    <row r="77" spans="1:19" ht="13.5">
      <c r="A77" s="5"/>
      <c r="B77" s="6" t="s">
        <v>201</v>
      </c>
      <c r="C77" s="6"/>
      <c r="D77" s="646"/>
      <c r="E77" s="671">
        <v>1</v>
      </c>
      <c r="F77" s="648">
        <f t="shared" si="10"/>
        <v>0</v>
      </c>
      <c r="G77" s="672">
        <v>2.2</v>
      </c>
      <c r="H77" s="672">
        <v>0.55</v>
      </c>
      <c r="I77" s="671">
        <v>0.4</v>
      </c>
      <c r="J77" s="671">
        <f t="shared" si="11"/>
        <v>0</v>
      </c>
      <c r="K77" s="671">
        <f t="shared" si="12"/>
        <v>0</v>
      </c>
      <c r="L77" s="672">
        <f t="shared" si="13"/>
        <v>0</v>
      </c>
      <c r="M77" s="671">
        <v>1.25</v>
      </c>
      <c r="N77" s="671">
        <f t="shared" si="9"/>
        <v>0</v>
      </c>
      <c r="O77" s="671">
        <v>40</v>
      </c>
      <c r="P77" s="5"/>
      <c r="Q77" s="101"/>
      <c r="R77" s="101"/>
      <c r="S77" s="5"/>
    </row>
    <row r="78" spans="1:19" ht="13.5">
      <c r="A78" s="5"/>
      <c r="B78" s="6" t="s">
        <v>536</v>
      </c>
      <c r="C78" s="7"/>
      <c r="D78" s="646"/>
      <c r="E78" s="671"/>
      <c r="F78" s="648">
        <f t="shared" si="10"/>
        <v>0</v>
      </c>
      <c r="G78" s="672"/>
      <c r="H78" s="672"/>
      <c r="I78" s="672"/>
      <c r="J78" s="671">
        <f t="shared" si="11"/>
        <v>0</v>
      </c>
      <c r="K78" s="671">
        <f t="shared" si="12"/>
        <v>0</v>
      </c>
      <c r="L78" s="672">
        <f t="shared" si="13"/>
        <v>0</v>
      </c>
      <c r="M78" s="671"/>
      <c r="N78" s="671">
        <f t="shared" si="9"/>
        <v>0</v>
      </c>
      <c r="O78" s="671"/>
      <c r="P78" s="5"/>
      <c r="Q78" s="13"/>
      <c r="R78" s="13"/>
      <c r="S78" s="5"/>
    </row>
    <row r="79" spans="1:19" ht="15" customHeight="1">
      <c r="A79" s="5"/>
      <c r="B79" s="6" t="s">
        <v>537</v>
      </c>
      <c r="C79" s="7"/>
      <c r="D79" s="646"/>
      <c r="E79" s="671"/>
      <c r="F79" s="648">
        <f t="shared" si="10"/>
        <v>0</v>
      </c>
      <c r="G79" s="672"/>
      <c r="H79" s="672"/>
      <c r="I79" s="672"/>
      <c r="J79" s="671">
        <f t="shared" si="11"/>
        <v>0</v>
      </c>
      <c r="K79" s="671">
        <f t="shared" si="12"/>
        <v>0</v>
      </c>
      <c r="L79" s="672">
        <f t="shared" si="13"/>
        <v>0</v>
      </c>
      <c r="M79" s="671"/>
      <c r="N79" s="671">
        <f t="shared" si="9"/>
        <v>0</v>
      </c>
      <c r="O79" s="671"/>
      <c r="P79" s="5"/>
      <c r="Q79" s="265"/>
      <c r="R79" s="265"/>
      <c r="S79" s="5"/>
    </row>
    <row r="80" spans="1:19" ht="15" customHeight="1">
      <c r="A80" s="5"/>
      <c r="B80" s="6" t="s">
        <v>538</v>
      </c>
      <c r="C80" s="7"/>
      <c r="D80" s="646"/>
      <c r="E80" s="671"/>
      <c r="F80" s="648">
        <f t="shared" si="10"/>
        <v>0</v>
      </c>
      <c r="G80" s="672"/>
      <c r="H80" s="672"/>
      <c r="I80" s="672"/>
      <c r="J80" s="671">
        <f t="shared" si="11"/>
        <v>0</v>
      </c>
      <c r="K80" s="671">
        <f t="shared" si="12"/>
        <v>0</v>
      </c>
      <c r="L80" s="672">
        <f t="shared" si="13"/>
        <v>0</v>
      </c>
      <c r="M80" s="671"/>
      <c r="N80" s="671">
        <f t="shared" si="9"/>
        <v>0</v>
      </c>
      <c r="O80" s="671"/>
      <c r="P80" s="5"/>
      <c r="Q80" s="265"/>
      <c r="R80" s="265"/>
      <c r="S80" s="5"/>
    </row>
    <row r="81" spans="1:19" ht="15" customHeight="1">
      <c r="A81" s="5"/>
      <c r="B81" s="6" t="s">
        <v>539</v>
      </c>
      <c r="C81" s="100"/>
      <c r="D81" s="646"/>
      <c r="E81" s="672"/>
      <c r="F81" s="648">
        <f t="shared" si="10"/>
        <v>0</v>
      </c>
      <c r="G81" s="675"/>
      <c r="H81" s="675"/>
      <c r="I81" s="675"/>
      <c r="J81" s="671">
        <f t="shared" si="11"/>
        <v>0</v>
      </c>
      <c r="K81" s="671">
        <f t="shared" si="12"/>
        <v>0</v>
      </c>
      <c r="L81" s="672">
        <f t="shared" si="13"/>
        <v>0</v>
      </c>
      <c r="M81" s="672"/>
      <c r="N81" s="671">
        <f t="shared" si="9"/>
        <v>0</v>
      </c>
      <c r="O81" s="672"/>
      <c r="P81" s="288"/>
      <c r="Q81" s="265"/>
      <c r="R81" s="265"/>
      <c r="S81" s="5"/>
    </row>
    <row r="82" spans="1:19" ht="12.75" customHeight="1">
      <c r="A82" s="5"/>
      <c r="B82" s="1398" t="s">
        <v>552</v>
      </c>
      <c r="C82" s="1399"/>
      <c r="D82" s="1399"/>
      <c r="E82" s="1399"/>
      <c r="F82" s="1399"/>
      <c r="G82" s="1399"/>
      <c r="H82" s="1399"/>
      <c r="I82" s="1399"/>
      <c r="J82" s="1399"/>
      <c r="K82" s="1399"/>
      <c r="L82" s="1399"/>
      <c r="M82" s="1399"/>
      <c r="N82" s="1399"/>
      <c r="O82" s="1400"/>
      <c r="P82" s="5"/>
      <c r="Q82" s="13"/>
      <c r="R82" s="13"/>
      <c r="S82" s="5"/>
    </row>
    <row r="83" spans="1:19" ht="13.5" customHeight="1">
      <c r="A83" s="276"/>
      <c r="B83" s="1388" t="s">
        <v>540</v>
      </c>
      <c r="C83" s="1388"/>
      <c r="D83" s="1388"/>
      <c r="E83" s="1388"/>
      <c r="F83" s="1388"/>
      <c r="G83" s="1388"/>
      <c r="H83" s="1388"/>
      <c r="I83" s="1388"/>
      <c r="J83" s="1388"/>
      <c r="K83" s="1388"/>
      <c r="L83" s="1388"/>
      <c r="M83" s="1388"/>
      <c r="N83" s="1388"/>
      <c r="O83" s="1388"/>
      <c r="P83" s="1388"/>
      <c r="Q83" s="1388"/>
      <c r="R83" s="13"/>
      <c r="S83" s="5"/>
    </row>
    <row r="84" spans="1:19" ht="15.75" customHeight="1">
      <c r="A84" s="5"/>
      <c r="B84" s="1150" t="s">
        <v>541</v>
      </c>
      <c r="C84" s="1386"/>
      <c r="D84" s="1386"/>
      <c r="E84" s="13"/>
      <c r="F84" s="13"/>
      <c r="G84" s="13"/>
      <c r="H84" s="12"/>
      <c r="I84" s="12"/>
      <c r="J84" s="19"/>
      <c r="K84" s="19"/>
      <c r="L84" s="19"/>
      <c r="M84" s="19"/>
      <c r="N84" s="19"/>
      <c r="O84" s="19"/>
      <c r="P84" s="19"/>
      <c r="Q84" s="12"/>
      <c r="R84" s="13"/>
      <c r="S84" s="5"/>
    </row>
    <row r="85" spans="1:19" ht="13.5">
      <c r="A85" s="5"/>
      <c r="B85" s="4"/>
      <c r="C85" s="4"/>
      <c r="E85" s="12"/>
      <c r="F85" s="12"/>
      <c r="G85" s="12"/>
      <c r="H85" s="12"/>
      <c r="I85" s="12"/>
      <c r="J85" s="12"/>
      <c r="K85" s="12"/>
      <c r="L85" s="12"/>
      <c r="M85" s="12"/>
      <c r="N85" s="12"/>
      <c r="O85" s="19"/>
      <c r="P85" s="14"/>
      <c r="Q85" s="12"/>
      <c r="R85" s="13"/>
      <c r="S85" s="5"/>
    </row>
    <row r="86" spans="1:19" ht="14.25" customHeight="1">
      <c r="A86" s="5"/>
      <c r="B86" s="4"/>
      <c r="C86" s="4"/>
      <c r="D86" s="4"/>
      <c r="E86" s="12"/>
      <c r="F86" s="12"/>
      <c r="G86" s="13"/>
      <c r="H86" s="13"/>
      <c r="I86" s="13"/>
      <c r="J86" s="12"/>
      <c r="K86" s="12"/>
      <c r="L86" s="12"/>
      <c r="M86" s="12"/>
      <c r="N86" s="12"/>
      <c r="O86" s="12"/>
      <c r="P86" s="13"/>
      <c r="Q86" s="12"/>
      <c r="R86" s="13"/>
      <c r="S86" s="5"/>
    </row>
    <row r="87" spans="1:19" ht="14.25" customHeight="1">
      <c r="A87" s="5"/>
      <c r="B87" s="4"/>
      <c r="C87" s="12"/>
      <c r="D87" s="12"/>
      <c r="E87" s="12"/>
      <c r="F87" s="12"/>
      <c r="G87" s="12"/>
      <c r="H87" s="12"/>
      <c r="I87" s="12"/>
      <c r="J87" s="12"/>
      <c r="K87" s="12"/>
      <c r="L87" s="12"/>
      <c r="M87" s="12"/>
      <c r="N87" s="12"/>
      <c r="O87" s="19"/>
      <c r="P87" s="13"/>
      <c r="Q87" s="5"/>
      <c r="R87" s="5"/>
      <c r="S87" s="5"/>
    </row>
    <row r="88" spans="1:19" ht="14.25" customHeight="1">
      <c r="A88" s="5"/>
      <c r="B88" s="12"/>
      <c r="C88" s="12"/>
      <c r="D88" s="12"/>
      <c r="E88" s="12"/>
      <c r="F88" s="12"/>
      <c r="G88" s="12"/>
      <c r="H88" s="12"/>
      <c r="I88" s="12"/>
      <c r="J88" s="12"/>
      <c r="K88" s="12"/>
      <c r="L88" s="12"/>
      <c r="M88" s="12"/>
      <c r="N88" s="12"/>
      <c r="O88" s="12"/>
      <c r="P88" s="13"/>
      <c r="Q88" s="5"/>
      <c r="R88" s="5"/>
      <c r="S88" s="5"/>
    </row>
    <row r="89" spans="1:19" ht="14.25" customHeight="1">
      <c r="A89" s="5"/>
      <c r="B89" s="12"/>
      <c r="C89" s="12"/>
      <c r="D89" s="12"/>
      <c r="E89" s="12"/>
      <c r="F89" s="12"/>
      <c r="G89" s="12"/>
      <c r="H89" s="12"/>
      <c r="I89" s="12"/>
      <c r="J89" s="12"/>
      <c r="K89" s="12"/>
      <c r="L89" s="12"/>
      <c r="M89" s="12"/>
      <c r="N89" s="12"/>
      <c r="O89" s="12"/>
      <c r="P89" s="13"/>
      <c r="Q89" s="5"/>
      <c r="R89" s="5"/>
      <c r="S89" s="5"/>
    </row>
    <row r="90" spans="1:19" ht="14.25" customHeight="1">
      <c r="A90" s="5"/>
      <c r="B90" s="12"/>
      <c r="C90" s="12"/>
      <c r="D90" s="12"/>
      <c r="E90" s="12"/>
      <c r="F90" s="12"/>
      <c r="G90" s="12"/>
      <c r="H90" s="12"/>
      <c r="I90" s="12"/>
      <c r="J90" s="12"/>
      <c r="K90" s="12"/>
      <c r="L90" s="12"/>
      <c r="M90" s="12"/>
      <c r="N90" s="12"/>
      <c r="O90" s="12"/>
      <c r="P90" s="13"/>
      <c r="Q90" s="5"/>
      <c r="R90" s="5"/>
      <c r="S90" s="5"/>
    </row>
    <row r="91" spans="1:19" ht="14.25" customHeight="1">
      <c r="A91" s="5"/>
      <c r="B91" s="12"/>
      <c r="C91" s="12"/>
      <c r="D91" s="12"/>
      <c r="E91" s="12"/>
      <c r="F91" s="12"/>
      <c r="G91" s="12"/>
      <c r="H91" s="12"/>
      <c r="I91" s="12"/>
      <c r="J91" s="12"/>
      <c r="K91" s="12"/>
      <c r="L91" s="12"/>
      <c r="M91" s="12"/>
      <c r="N91" s="12"/>
      <c r="O91" s="12"/>
      <c r="P91" s="13"/>
      <c r="Q91" s="5"/>
      <c r="R91" s="5"/>
      <c r="S91" s="5"/>
    </row>
    <row r="92" spans="1:19" ht="14.25" customHeight="1">
      <c r="A92" s="5"/>
      <c r="B92" s="12"/>
      <c r="C92" s="12"/>
      <c r="D92" s="12"/>
      <c r="E92" s="12"/>
      <c r="F92" s="12"/>
      <c r="G92" s="12"/>
      <c r="H92" s="12"/>
      <c r="I92" s="12"/>
      <c r="J92" s="12"/>
      <c r="K92" s="12"/>
      <c r="L92" s="12"/>
      <c r="M92" s="12"/>
      <c r="N92" s="12"/>
      <c r="O92" s="12"/>
      <c r="P92" s="13"/>
      <c r="Q92" s="5"/>
      <c r="R92" s="5"/>
      <c r="S92" s="5"/>
    </row>
    <row r="93" spans="1:19" ht="13.5">
      <c r="A93" s="5"/>
      <c r="B93" s="4"/>
      <c r="C93" s="4"/>
      <c r="D93" s="4"/>
      <c r="E93" s="4"/>
      <c r="F93" s="4"/>
      <c r="G93" s="5"/>
      <c r="H93" s="5"/>
      <c r="I93" s="5"/>
      <c r="J93" s="4"/>
      <c r="K93" s="4"/>
      <c r="L93" s="4"/>
      <c r="M93" s="4"/>
      <c r="N93" s="4"/>
      <c r="O93" s="4"/>
      <c r="P93" s="5"/>
      <c r="Q93" s="5"/>
      <c r="R93" s="5"/>
      <c r="S93" s="5"/>
    </row>
    <row r="94" spans="1:19" ht="13.5">
      <c r="A94" s="5"/>
      <c r="B94" s="4"/>
      <c r="C94" s="4"/>
      <c r="D94" s="4"/>
      <c r="E94" s="4"/>
      <c r="F94" s="4"/>
      <c r="G94" s="5"/>
      <c r="H94" s="5"/>
      <c r="I94" s="5"/>
      <c r="J94" s="4"/>
      <c r="K94" s="4"/>
      <c r="L94" s="4"/>
      <c r="M94" s="4"/>
      <c r="N94" s="4"/>
      <c r="O94" s="4"/>
      <c r="P94" s="5"/>
      <c r="Q94" s="5"/>
      <c r="R94" s="5"/>
      <c r="S94" s="5"/>
    </row>
    <row r="95" spans="1:19" ht="13.5">
      <c r="A95" s="5"/>
      <c r="B95" s="4"/>
      <c r="C95" s="4"/>
      <c r="D95" s="4"/>
      <c r="E95" s="4"/>
      <c r="F95" s="4"/>
      <c r="G95" s="5"/>
      <c r="H95" s="5"/>
      <c r="I95" s="5"/>
      <c r="J95" s="4"/>
      <c r="K95" s="4"/>
      <c r="L95" s="4"/>
      <c r="M95" s="4"/>
      <c r="N95" s="4"/>
      <c r="O95" s="4"/>
      <c r="P95" s="5"/>
      <c r="Q95" s="5"/>
      <c r="R95" s="5"/>
      <c r="S95" s="5"/>
    </row>
    <row r="96" spans="1:19" ht="13.5">
      <c r="A96" s="5"/>
      <c r="B96" s="4"/>
      <c r="C96" s="4"/>
      <c r="D96" s="4"/>
      <c r="E96" s="4"/>
      <c r="F96" s="4"/>
      <c r="G96" s="5"/>
      <c r="H96" s="5"/>
      <c r="I96" s="5"/>
      <c r="J96" s="4"/>
      <c r="K96" s="4"/>
      <c r="L96" s="4"/>
      <c r="M96" s="4"/>
      <c r="N96" s="4"/>
      <c r="O96" s="4"/>
      <c r="P96" s="5"/>
      <c r="Q96" s="5"/>
      <c r="R96" s="5"/>
      <c r="S96" s="5"/>
    </row>
    <row r="97" spans="1:19" ht="13.5">
      <c r="A97" s="5"/>
      <c r="B97" s="4"/>
      <c r="C97" s="4"/>
      <c r="D97" s="4"/>
      <c r="E97" s="4"/>
      <c r="F97" s="4"/>
      <c r="G97" s="5"/>
      <c r="H97" s="5"/>
      <c r="I97" s="5"/>
      <c r="J97" s="4"/>
      <c r="K97" s="4"/>
      <c r="L97" s="4"/>
      <c r="M97" s="4"/>
      <c r="N97" s="4"/>
      <c r="O97" s="4"/>
      <c r="P97" s="5"/>
      <c r="Q97" s="5"/>
      <c r="R97" s="5"/>
      <c r="S97" s="5"/>
    </row>
    <row r="98" spans="1:19" ht="13.5">
      <c r="A98" s="5"/>
      <c r="B98" s="4"/>
      <c r="C98" s="4"/>
      <c r="D98" s="4"/>
      <c r="E98" s="4"/>
      <c r="F98" s="4"/>
      <c r="G98" s="5"/>
      <c r="H98" s="5"/>
      <c r="I98" s="5"/>
      <c r="J98" s="4"/>
      <c r="K98" s="4"/>
      <c r="L98" s="4"/>
      <c r="M98" s="4"/>
      <c r="N98" s="4"/>
      <c r="O98" s="4"/>
      <c r="P98" s="4"/>
      <c r="Q98" s="20"/>
      <c r="R98" s="108" t="s">
        <v>138</v>
      </c>
      <c r="S98" s="5"/>
    </row>
    <row r="99" spans="1:19" ht="13.5">
      <c r="A99" s="5"/>
      <c r="B99" s="4"/>
      <c r="C99" s="4"/>
      <c r="D99" s="4"/>
      <c r="E99" s="4"/>
      <c r="F99" s="4"/>
      <c r="G99" s="5"/>
      <c r="H99" s="5"/>
      <c r="I99" s="5"/>
      <c r="J99" s="4"/>
      <c r="K99" s="4"/>
      <c r="L99" s="4"/>
      <c r="M99" s="4"/>
      <c r="N99" s="4"/>
      <c r="O99" s="4"/>
      <c r="P99" s="4"/>
      <c r="Q99" s="20" t="s">
        <v>340</v>
      </c>
      <c r="R99" s="267" t="s">
        <v>3</v>
      </c>
      <c r="S99" s="5"/>
    </row>
    <row r="100" spans="1:19" ht="13.5">
      <c r="A100" s="5"/>
      <c r="B100" s="1391" t="s">
        <v>542</v>
      </c>
      <c r="C100" s="1391"/>
      <c r="D100" s="1391"/>
      <c r="E100" s="1391"/>
      <c r="F100" s="1391"/>
      <c r="G100" s="1391"/>
      <c r="H100" s="1391"/>
      <c r="I100" s="1391"/>
      <c r="J100" s="4"/>
      <c r="K100" s="4"/>
      <c r="L100" s="4"/>
      <c r="M100" s="4"/>
      <c r="N100" s="4"/>
      <c r="O100" s="4"/>
      <c r="P100" s="4"/>
      <c r="Q100" s="20" t="s">
        <v>122</v>
      </c>
      <c r="R100" s="268" t="s">
        <v>15</v>
      </c>
      <c r="S100" s="5"/>
    </row>
    <row r="101" spans="1:19" ht="13.5">
      <c r="A101" s="5"/>
      <c r="B101" s="5"/>
      <c r="C101" s="5"/>
      <c r="D101" s="5"/>
      <c r="E101" s="5"/>
      <c r="F101" s="5"/>
      <c r="G101" s="5"/>
      <c r="H101" s="5"/>
      <c r="I101" s="5"/>
      <c r="J101" s="5"/>
      <c r="K101" s="5"/>
      <c r="L101" s="5"/>
      <c r="M101" s="5"/>
      <c r="N101" s="5"/>
      <c r="O101" s="5"/>
      <c r="P101" s="5"/>
      <c r="Q101" s="5"/>
      <c r="R101" s="5"/>
      <c r="S101" s="5"/>
    </row>
  </sheetData>
  <sheetProtection password="FA80" sheet="1" objects="1" scenarios="1" formatCells="0" formatColumns="0"/>
  <mergeCells count="27">
    <mergeCell ref="B13:C13"/>
    <mergeCell ref="E13:G13"/>
    <mergeCell ref="B14:C14"/>
    <mergeCell ref="I1:P1"/>
    <mergeCell ref="C3:G3"/>
    <mergeCell ref="B5:C5"/>
    <mergeCell ref="B6:C6"/>
    <mergeCell ref="B100:I100"/>
    <mergeCell ref="H14:I14"/>
    <mergeCell ref="B15:C15"/>
    <mergeCell ref="E15:I15"/>
    <mergeCell ref="B16:C16"/>
    <mergeCell ref="E16:J16"/>
    <mergeCell ref="B18:C19"/>
    <mergeCell ref="B82:O82"/>
    <mergeCell ref="E14:G14"/>
    <mergeCell ref="J13:Q14"/>
    <mergeCell ref="B84:D84"/>
    <mergeCell ref="B9:C9"/>
    <mergeCell ref="Q15:Q16"/>
    <mergeCell ref="B83:Q83"/>
    <mergeCell ref="H13:I13"/>
    <mergeCell ref="E9:I9"/>
    <mergeCell ref="B10:C10"/>
    <mergeCell ref="E10:I10"/>
    <mergeCell ref="J10:Q10"/>
    <mergeCell ref="E11:I11"/>
  </mergeCells>
  <hyperlinks>
    <hyperlink ref="B18" location="'Jam'!A100" display="Please read the &quot;Disclaimer&quot; before using this spreadsheet."/>
    <hyperlink ref="B19" location="'Jam'!A100" display="Please read the &quot;Disclaimer&quot; before using this spreadsheet."/>
    <hyperlink ref="C18" location="'Jam'!A100" display="Please read the &quot;Disclaimer&quot; before using this spreadsheet."/>
    <hyperlink ref="C19" location="'Jam'!A100" display="Please read the &quot;Disclaimer&quot; before using this spreadsheet."/>
    <hyperlink ref="R2" r:id="rId1" display="www.PetesPintPot.co.uk"/>
    <hyperlink ref="R99" r:id="rId2" display="www.PetesPintPot.co.uk"/>
    <hyperlink ref="R100" r:id="rId3" display="www.yobrew.co.uk"/>
    <hyperlink ref="B18:C19" location="Jam!B100" display="Please read the &quot;Disclaimer&quot; before using this spreadsheet."/>
  </hyperlinks>
  <printOptions horizontalCentered="1"/>
  <pageMargins left="0.5506944444444445" right="0.5506944444444445" top="0.39305555555555555" bottom="0.5506944444444445" header="0.3145833333333333" footer="0.5118055555555555"/>
  <pageSetup horizontalDpi="30066" verticalDpi="30066" orientation="portrait" paperSize="9" scale="56" r:id="rId5"/>
  <drawing r:id="rId4"/>
</worksheet>
</file>

<file path=docProps/app.xml><?xml version="1.0" encoding="utf-8"?>
<Properties xmlns="http://schemas.openxmlformats.org/officeDocument/2006/extended-properties" xmlns:vt="http://schemas.openxmlformats.org/officeDocument/2006/docPropsVTypes">
  <Application>PlanMaker, Rev. 489</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PJL</dc:creator>
  <cp:keywords/>
  <dc:description/>
  <cp:lastModifiedBy>Pete</cp:lastModifiedBy>
  <cp:lastPrinted>2016-10-27T14:11:59Z</cp:lastPrinted>
  <dcterms:created xsi:type="dcterms:W3CDTF">2016-03-23T14:40:52Z</dcterms:created>
  <dcterms:modified xsi:type="dcterms:W3CDTF">2017-02-18T13:49:26Z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