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690" yWindow="-45" windowWidth="27360" windowHeight="12435" tabRatio="802" activeTab="9"/>
  </bookViews>
  <sheets>
    <sheet name="INDEX" sheetId="50" r:id="rId1"/>
    <sheet name="General Calc's" sheetId="58" r:id="rId2"/>
    <sheet name="Extract Calc" sheetId="71" r:id="rId3"/>
    <sheet name="Beer Calc" sheetId="70" r:id="rId4"/>
    <sheet name="Gluten-Free" sheetId="68" r:id="rId5"/>
    <sheet name="Primer" sheetId="74" r:id="rId6"/>
    <sheet name="BJCP" sheetId="51" r:id="rId7"/>
    <sheet name="Wine Calc " sheetId="48" r:id="rId8"/>
    <sheet name="Jame's Acid Calc" sheetId="57" r:id="rId9"/>
    <sheet name="Jam" sheetId="53" r:id="rId10"/>
  </sheets>
  <definedNames>
    <definedName name="_71.1_EBU" localSheetId="5">#REF!</definedName>
    <definedName name="_Toc169764622" localSheetId="3">'Beer Calc'!$D$6</definedName>
    <definedName name="_Toc269412869" localSheetId="2">'Extract Calc'!$E$3</definedName>
    <definedName name="_xlnm.Print_Area" localSheetId="3">'Beer Calc'!$A$1:$T$98</definedName>
    <definedName name="_xlnm.Print_Area" localSheetId="6">BJCP!$A$1:$Q$142</definedName>
    <definedName name="_xlnm.Print_Area" localSheetId="2">'Extract Calc'!$A$1:$V$107</definedName>
    <definedName name="_xlnm.Print_Area" localSheetId="1">'General Calc''s'!$A$1:$S$104</definedName>
    <definedName name="_xlnm.Print_Area" localSheetId="4">'Gluten-Free'!$A$1:$U$94</definedName>
    <definedName name="_xlnm.Print_Area" localSheetId="0">INDEX!$B$1:$F$66</definedName>
    <definedName name="_xlnm.Print_Area" localSheetId="9">Jam!$A$1:$S$109</definedName>
    <definedName name="_xlnm.Print_Area" localSheetId="8">'Jame''s Acid Calc'!$A$1:$J$77</definedName>
    <definedName name="_xlnm.Print_Area" localSheetId="5">Primer!$A$1:$S$87</definedName>
    <definedName name="_xlnm.Print_Area" localSheetId="7">'Wine Calc '!$A$1:$W$286</definedName>
    <definedName name="WLP_vs_Wyeast" localSheetId="3">'Beer Calc'!#REF!</definedName>
    <definedName name="Wyeast" localSheetId="3">'Beer Calc'!#REF!</definedName>
    <definedName name="Wyeast_vs_WLP" localSheetId="3">'Beer Calc'!#REF!</definedName>
  </definedNames>
  <calcPr calcId="124519"/>
</workbook>
</file>

<file path=xl/calcChain.xml><?xml version="1.0" encoding="utf-8"?>
<calcChain xmlns="http://schemas.openxmlformats.org/spreadsheetml/2006/main">
  <c r="P67" i="74"/>
  <c r="F100" i="68"/>
  <c r="I81" i="58"/>
  <c r="I80"/>
  <c r="I82" l="1"/>
  <c r="G81"/>
  <c r="G82" s="1"/>
  <c r="H82" s="1"/>
  <c r="H80"/>
  <c r="H81" l="1"/>
  <c r="N48" i="71" l="1"/>
  <c r="AR20" i="70"/>
  <c r="AR21"/>
  <c r="AR22"/>
  <c r="AR23"/>
  <c r="AR24"/>
  <c r="C133" i="74"/>
  <c r="C132"/>
  <c r="C131"/>
  <c r="C130"/>
  <c r="C129"/>
  <c r="D128"/>
  <c r="B128"/>
  <c r="C127"/>
  <c r="C128" s="1"/>
  <c r="D126"/>
  <c r="B126"/>
  <c r="C125"/>
  <c r="C126" s="1"/>
  <c r="D124"/>
  <c r="B124"/>
  <c r="C123"/>
  <c r="D122"/>
  <c r="B122"/>
  <c r="G11" s="1"/>
  <c r="C121"/>
  <c r="C122" s="1"/>
  <c r="D120"/>
  <c r="B120"/>
  <c r="C119"/>
  <c r="C120" s="1"/>
  <c r="D118"/>
  <c r="B118"/>
  <c r="C117"/>
  <c r="D116"/>
  <c r="B116"/>
  <c r="C115"/>
  <c r="D114"/>
  <c r="B114"/>
  <c r="C113"/>
  <c r="D112"/>
  <c r="B112"/>
  <c r="C111"/>
  <c r="C112" s="1"/>
  <c r="D110"/>
  <c r="B110"/>
  <c r="C109"/>
  <c r="D108"/>
  <c r="B108"/>
  <c r="C107"/>
  <c r="D106"/>
  <c r="B106"/>
  <c r="C105"/>
  <c r="C106" s="1"/>
  <c r="D104"/>
  <c r="B104"/>
  <c r="C103"/>
  <c r="C104" s="1"/>
  <c r="C102"/>
  <c r="C101"/>
  <c r="C100"/>
  <c r="C99"/>
  <c r="C98"/>
  <c r="C97"/>
  <c r="C96"/>
  <c r="C95"/>
  <c r="C94"/>
  <c r="C93"/>
  <c r="C92"/>
  <c r="C91"/>
  <c r="C90"/>
  <c r="K80"/>
  <c r="K73"/>
  <c r="L68"/>
  <c r="M68" s="1"/>
  <c r="S66"/>
  <c r="S65"/>
  <c r="S64"/>
  <c r="S63"/>
  <c r="C63"/>
  <c r="D63" s="1"/>
  <c r="E63" s="1"/>
  <c r="B63"/>
  <c r="H63" s="1"/>
  <c r="H64" s="1"/>
  <c r="S62"/>
  <c r="S61"/>
  <c r="S60"/>
  <c r="S59"/>
  <c r="S58"/>
  <c r="E58"/>
  <c r="B58"/>
  <c r="S57"/>
  <c r="S56"/>
  <c r="S55"/>
  <c r="K55"/>
  <c r="K56" s="1"/>
  <c r="S54"/>
  <c r="S53"/>
  <c r="E53"/>
  <c r="S52"/>
  <c r="S51"/>
  <c r="S50"/>
  <c r="B50"/>
  <c r="S49"/>
  <c r="S48"/>
  <c r="B48"/>
  <c r="S47"/>
  <c r="A47"/>
  <c r="S46"/>
  <c r="S45"/>
  <c r="S44"/>
  <c r="S43"/>
  <c r="D43"/>
  <c r="B43"/>
  <c r="S42"/>
  <c r="H42"/>
  <c r="F42"/>
  <c r="S41"/>
  <c r="S40"/>
  <c r="S39"/>
  <c r="N39"/>
  <c r="F39"/>
  <c r="H39" s="1"/>
  <c r="D39"/>
  <c r="B39"/>
  <c r="S38"/>
  <c r="N38"/>
  <c r="S37"/>
  <c r="N37"/>
  <c r="S36"/>
  <c r="N36"/>
  <c r="S35"/>
  <c r="N35"/>
  <c r="S34"/>
  <c r="N34"/>
  <c r="G34"/>
  <c r="D34" s="1"/>
  <c r="S33"/>
  <c r="N33"/>
  <c r="S32"/>
  <c r="N32"/>
  <c r="S31"/>
  <c r="N31"/>
  <c r="K41" s="1"/>
  <c r="S30"/>
  <c r="N30"/>
  <c r="S29"/>
  <c r="N29"/>
  <c r="S28"/>
  <c r="N28"/>
  <c r="D28"/>
  <c r="C28"/>
  <c r="S27"/>
  <c r="N27"/>
  <c r="H27"/>
  <c r="F27"/>
  <c r="S26"/>
  <c r="N26"/>
  <c r="S25"/>
  <c r="N25"/>
  <c r="S24"/>
  <c r="N24"/>
  <c r="S23"/>
  <c r="N23"/>
  <c r="S22"/>
  <c r="N22"/>
  <c r="S21"/>
  <c r="N21"/>
  <c r="S20"/>
  <c r="S19"/>
  <c r="C19"/>
  <c r="S18"/>
  <c r="H18"/>
  <c r="F18"/>
  <c r="S17"/>
  <c r="S16"/>
  <c r="S15"/>
  <c r="S14"/>
  <c r="S13"/>
  <c r="S12"/>
  <c r="S11"/>
  <c r="M11"/>
  <c r="M8" s="1"/>
  <c r="E11"/>
  <c r="F11" s="1"/>
  <c r="F12" s="1"/>
  <c r="S10"/>
  <c r="H10"/>
  <c r="F10"/>
  <c r="S9"/>
  <c r="M9"/>
  <c r="S8"/>
  <c r="C114" l="1"/>
  <c r="C108"/>
  <c r="C116"/>
  <c r="C124"/>
  <c r="C110"/>
  <c r="C118"/>
  <c r="G28"/>
  <c r="H28" s="1"/>
  <c r="H29" s="1"/>
  <c r="H30" s="1"/>
  <c r="M15"/>
  <c r="M13" s="1"/>
  <c r="M14" s="1"/>
  <c r="E19"/>
  <c r="G19"/>
  <c r="E28"/>
  <c r="K57"/>
  <c r="L56"/>
  <c r="M56" s="1"/>
  <c r="G63"/>
  <c r="F63"/>
  <c r="G12"/>
  <c r="H11"/>
  <c r="H12" s="1"/>
  <c r="L55"/>
  <c r="M55" s="1"/>
  <c r="I63"/>
  <c r="I64" s="1"/>
  <c r="E12"/>
  <c r="G29" l="1"/>
  <c r="G30" s="1"/>
  <c r="M16"/>
  <c r="G20"/>
  <c r="G21" s="1"/>
  <c r="H19"/>
  <c r="H20" s="1"/>
  <c r="H21" s="1"/>
  <c r="F28"/>
  <c r="F29" s="1"/>
  <c r="F30" s="1"/>
  <c r="E29"/>
  <c r="E30" s="1"/>
  <c r="E20"/>
  <c r="E21" s="1"/>
  <c r="F19"/>
  <c r="F20" s="1"/>
  <c r="F21" s="1"/>
  <c r="K58"/>
  <c r="L57"/>
  <c r="M57" s="1"/>
  <c r="L58" l="1"/>
  <c r="M58" s="1"/>
  <c r="K59"/>
  <c r="L59" l="1"/>
  <c r="M59" s="1"/>
  <c r="K60"/>
  <c r="L60" l="1"/>
  <c r="M60" s="1"/>
  <c r="K61"/>
  <c r="L61" l="1"/>
  <c r="M61" s="1"/>
  <c r="K62"/>
  <c r="L62" l="1"/>
  <c r="M62" s="1"/>
  <c r="K63"/>
  <c r="L63" l="1"/>
  <c r="M63" s="1"/>
  <c r="K64"/>
  <c r="K65" l="1"/>
  <c r="L64"/>
  <c r="M64" s="1"/>
  <c r="K66" l="1"/>
  <c r="L65"/>
  <c r="M65" s="1"/>
  <c r="K67" l="1"/>
  <c r="L67" s="1"/>
  <c r="M67" s="1"/>
  <c r="L66"/>
  <c r="M66" s="1"/>
  <c r="Z69" i="70" l="1"/>
  <c r="Z70"/>
  <c r="U78"/>
  <c r="V78"/>
  <c r="U80"/>
  <c r="V80"/>
  <c r="U82"/>
  <c r="V82"/>
  <c r="U84"/>
  <c r="V84"/>
  <c r="U86"/>
  <c r="V86"/>
  <c r="U88"/>
  <c r="V88"/>
  <c r="U90"/>
  <c r="V90"/>
  <c r="U92"/>
  <c r="V92"/>
  <c r="U94"/>
  <c r="V94"/>
  <c r="U96"/>
  <c r="V96"/>
  <c r="U98"/>
  <c r="V98"/>
  <c r="U100"/>
  <c r="V100"/>
  <c r="U102"/>
  <c r="V102"/>
  <c r="AB21" i="71" l="1"/>
  <c r="AB20"/>
  <c r="E101" i="58" l="1"/>
  <c r="AO236" i="48" l="1"/>
  <c r="AO234"/>
  <c r="AO232"/>
  <c r="AO230"/>
  <c r="AO228"/>
  <c r="AO226"/>
  <c r="AO224"/>
  <c r="AO222"/>
  <c r="AO220"/>
  <c r="AO218"/>
  <c r="AO216"/>
  <c r="AO214"/>
  <c r="AO212"/>
  <c r="AP236"/>
  <c r="AP234"/>
  <c r="AP232"/>
  <c r="AP230"/>
  <c r="AP228"/>
  <c r="AP226"/>
  <c r="AP224"/>
  <c r="AP222"/>
  <c r="AP220"/>
  <c r="AP218"/>
  <c r="AP216"/>
  <c r="AP214"/>
  <c r="AP212"/>
  <c r="W87" i="68"/>
  <c r="V87"/>
  <c r="W85"/>
  <c r="V85"/>
  <c r="W83"/>
  <c r="V83"/>
  <c r="W81"/>
  <c r="V81"/>
  <c r="F12" s="1"/>
  <c r="W79"/>
  <c r="V79"/>
  <c r="W77"/>
  <c r="V77"/>
  <c r="W75"/>
  <c r="V75"/>
  <c r="W73"/>
  <c r="V73"/>
  <c r="W71"/>
  <c r="V71"/>
  <c r="W69"/>
  <c r="V69"/>
  <c r="W67"/>
  <c r="V67"/>
  <c r="W65"/>
  <c r="V65"/>
  <c r="W63"/>
  <c r="V63"/>
  <c r="C10" i="70"/>
  <c r="Z119" i="71"/>
  <c r="Z117"/>
  <c r="Z115"/>
  <c r="Z113"/>
  <c r="D8" s="1"/>
  <c r="Z111"/>
  <c r="Z109"/>
  <c r="Z107"/>
  <c r="Z105"/>
  <c r="Z103"/>
  <c r="Z101"/>
  <c r="Z99"/>
  <c r="Z97"/>
  <c r="Z95"/>
  <c r="AA119"/>
  <c r="AA117"/>
  <c r="AA115"/>
  <c r="AA113"/>
  <c r="AA111"/>
  <c r="AA109"/>
  <c r="AA107"/>
  <c r="AA105"/>
  <c r="AA103"/>
  <c r="AA101"/>
  <c r="AA99"/>
  <c r="AA97"/>
  <c r="AA95"/>
  <c r="N97" i="48" l="1"/>
  <c r="J31" i="70" l="1"/>
  <c r="AR12" l="1"/>
  <c r="AR13"/>
  <c r="AR14"/>
  <c r="AR15"/>
  <c r="AB70" i="71"/>
  <c r="AA70"/>
  <c r="Z70"/>
  <c r="AQ41" i="68" l="1"/>
  <c r="AN41"/>
  <c r="AQ40"/>
  <c r="AN40"/>
  <c r="AQ39"/>
  <c r="AN39"/>
  <c r="AQ38"/>
  <c r="AN38"/>
  <c r="AQ37"/>
  <c r="AN37"/>
  <c r="AW8"/>
  <c r="AU8"/>
  <c r="AW7"/>
  <c r="AU7"/>
  <c r="AW6"/>
  <c r="AU6"/>
  <c r="AW5"/>
  <c r="AU5"/>
  <c r="AW4"/>
  <c r="AU4"/>
  <c r="AW3"/>
  <c r="AU3"/>
  <c r="AW55" i="71"/>
  <c r="AT55"/>
  <c r="AW54"/>
  <c r="AT54"/>
  <c r="AW53"/>
  <c r="AT53"/>
  <c r="AW52"/>
  <c r="AT52"/>
  <c r="AW51"/>
  <c r="AT51"/>
  <c r="AW50"/>
  <c r="AT50"/>
  <c r="AW49"/>
  <c r="AT49"/>
  <c r="AW48"/>
  <c r="AT48"/>
  <c r="AW47"/>
  <c r="AT47"/>
  <c r="AO53" i="70"/>
  <c r="AR53"/>
  <c r="AO51"/>
  <c r="AR51"/>
  <c r="AO52"/>
  <c r="AR52"/>
  <c r="AR45"/>
  <c r="AR46"/>
  <c r="AR47"/>
  <c r="AR48"/>
  <c r="AR49"/>
  <c r="AO46"/>
  <c r="AO47"/>
  <c r="AO48"/>
  <c r="AO49"/>
  <c r="AO50"/>
  <c r="AR50"/>
  <c r="AO45"/>
  <c r="AQ16" i="68"/>
  <c r="AO16" s="1"/>
  <c r="AQ12"/>
  <c r="AQ13"/>
  <c r="AO13" s="1"/>
  <c r="AQ14"/>
  <c r="AO14" s="1"/>
  <c r="AQ15"/>
  <c r="AO15" s="1"/>
  <c r="AO12"/>
  <c r="AQ11"/>
  <c r="AO11" s="1"/>
  <c r="AO8"/>
  <c r="AQ8" s="1"/>
  <c r="AO7"/>
  <c r="AQ7" s="1"/>
  <c r="AO6"/>
  <c r="AQ6" s="1"/>
  <c r="AO5"/>
  <c r="AQ5" s="1"/>
  <c r="AO4"/>
  <c r="AQ4" s="1"/>
  <c r="AO3"/>
  <c r="AQ3" s="1"/>
  <c r="AR41" i="70"/>
  <c r="AT41" s="1"/>
  <c r="AR40"/>
  <c r="AT40" s="1"/>
  <c r="AR39"/>
  <c r="AT39" s="1"/>
  <c r="AR38"/>
  <c r="AT38" s="1"/>
  <c r="AR37"/>
  <c r="AT37" s="1"/>
  <c r="AR36"/>
  <c r="AT36" s="1"/>
  <c r="AU33"/>
  <c r="AP33" s="1"/>
  <c r="AR33" s="1"/>
  <c r="AU32"/>
  <c r="AP32"/>
  <c r="AR32" s="1"/>
  <c r="AU31"/>
  <c r="AP31" s="1"/>
  <c r="AR31" s="1"/>
  <c r="AU30"/>
  <c r="AP30" s="1"/>
  <c r="AR30" s="1"/>
  <c r="AU29"/>
  <c r="AP29" s="1"/>
  <c r="AR29" s="1"/>
  <c r="AU28"/>
  <c r="AP28" s="1"/>
  <c r="AR28" s="1"/>
  <c r="AQ24"/>
  <c r="AQ23"/>
  <c r="AQ22"/>
  <c r="AQ21"/>
  <c r="AQ20"/>
  <c r="AR19"/>
  <c r="AQ19" s="1"/>
  <c r="AR16"/>
  <c r="AQ16"/>
  <c r="AQ15"/>
  <c r="AQ14"/>
  <c r="AQ13"/>
  <c r="AQ12"/>
  <c r="AR11"/>
  <c r="AQ11"/>
  <c r="AQ8"/>
  <c r="AR8" s="1"/>
  <c r="AQ7"/>
  <c r="AR7" s="1"/>
  <c r="AQ6"/>
  <c r="AR6" s="1"/>
  <c r="AQ5"/>
  <c r="AR5" s="1"/>
  <c r="AQ4"/>
  <c r="AR4" s="1"/>
  <c r="AQ3"/>
  <c r="AR3" s="1"/>
  <c r="AW22" i="71"/>
  <c r="AV22" s="1"/>
  <c r="AW23"/>
  <c r="AV23" s="1"/>
  <c r="AW24"/>
  <c r="AW25"/>
  <c r="AV25" s="1"/>
  <c r="AW26"/>
  <c r="AV26" s="1"/>
  <c r="AW18"/>
  <c r="AW14"/>
  <c r="AW15"/>
  <c r="AW16"/>
  <c r="AW17"/>
  <c r="AW43"/>
  <c r="AY43" s="1"/>
  <c r="AW42"/>
  <c r="AY42" s="1"/>
  <c r="AW41"/>
  <c r="AY41" s="1"/>
  <c r="AW40"/>
  <c r="AY40" s="1"/>
  <c r="AW39"/>
  <c r="AY39" s="1"/>
  <c r="AW38"/>
  <c r="AY38" s="1"/>
  <c r="AZ35"/>
  <c r="AU35" s="1"/>
  <c r="AW35" s="1"/>
  <c r="AZ34"/>
  <c r="AU34" s="1"/>
  <c r="AW34" s="1"/>
  <c r="AZ33"/>
  <c r="AU33" s="1"/>
  <c r="AW33" s="1"/>
  <c r="AZ32"/>
  <c r="AU32" s="1"/>
  <c r="AW32" s="1"/>
  <c r="AZ31"/>
  <c r="AU31" s="1"/>
  <c r="AW31" s="1"/>
  <c r="AZ30"/>
  <c r="AU30" s="1"/>
  <c r="AW30" s="1"/>
  <c r="AV24"/>
  <c r="AW21"/>
  <c r="AV21" s="1"/>
  <c r="AV18"/>
  <c r="AV17"/>
  <c r="AV16"/>
  <c r="AV15"/>
  <c r="AV14"/>
  <c r="AW13"/>
  <c r="AV13"/>
  <c r="AV10"/>
  <c r="AW10" s="1"/>
  <c r="AV9"/>
  <c r="AW9" s="1"/>
  <c r="AV8"/>
  <c r="AW8" s="1"/>
  <c r="AV7"/>
  <c r="AW7" s="1"/>
  <c r="AV6"/>
  <c r="AW6" s="1"/>
  <c r="AV5"/>
  <c r="AW5" s="1"/>
  <c r="AQ33" i="68"/>
  <c r="AS33" s="1"/>
  <c r="AQ32"/>
  <c r="AS32" s="1"/>
  <c r="AQ31"/>
  <c r="AS31" s="1"/>
  <c r="AQ30"/>
  <c r="AS30" s="1"/>
  <c r="AQ29"/>
  <c r="AS29" s="1"/>
  <c r="AQ28"/>
  <c r="AS28" s="1"/>
  <c r="AT25"/>
  <c r="AO25" s="1"/>
  <c r="AQ25" s="1"/>
  <c r="AT24"/>
  <c r="AO24" s="1"/>
  <c r="AQ24" s="1"/>
  <c r="AT23"/>
  <c r="AO23" s="1"/>
  <c r="AQ23" s="1"/>
  <c r="AT22"/>
  <c r="AO22" s="1"/>
  <c r="AQ22" s="1"/>
  <c r="AT21"/>
  <c r="AO21" s="1"/>
  <c r="AQ21" s="1"/>
  <c r="AT20"/>
  <c r="AO20" s="1"/>
  <c r="AQ20" s="1"/>
  <c r="AB159" i="48"/>
  <c r="Y159" s="1"/>
  <c r="Z159" s="1"/>
  <c r="AB158"/>
  <c r="Y158" s="1"/>
  <c r="Z158" s="1"/>
  <c r="AB157"/>
  <c r="Y157" s="1"/>
  <c r="Z157" s="1"/>
  <c r="AB156"/>
  <c r="Y156" s="1"/>
  <c r="Z156" s="1"/>
  <c r="AB155"/>
  <c r="Y155" s="1"/>
  <c r="Z155" s="1"/>
  <c r="AB154"/>
  <c r="Y154" s="1"/>
  <c r="Z154" s="1"/>
  <c r="AB153"/>
  <c r="Y153" s="1"/>
  <c r="Z153" s="1"/>
  <c r="AG159"/>
  <c r="AF159"/>
  <c r="AG158"/>
  <c r="AF158"/>
  <c r="AG157"/>
  <c r="AF157"/>
  <c r="AG156"/>
  <c r="AF156"/>
  <c r="AG155"/>
  <c r="AF155"/>
  <c r="AG154"/>
  <c r="AF154"/>
  <c r="AG153"/>
  <c r="AF153"/>
  <c r="AH149"/>
  <c r="AG149" s="1"/>
  <c r="AH148"/>
  <c r="AG148" s="1"/>
  <c r="AH147"/>
  <c r="AG147" s="1"/>
  <c r="AH146"/>
  <c r="AG146" s="1"/>
  <c r="AH145"/>
  <c r="AG145" s="1"/>
  <c r="AH144"/>
  <c r="AG144" s="1"/>
  <c r="AH143"/>
  <c r="AG143" s="1"/>
  <c r="AD149"/>
  <c r="AC149"/>
  <c r="AD148"/>
  <c r="AC148"/>
  <c r="AD147"/>
  <c r="AC147"/>
  <c r="AD146"/>
  <c r="AC146"/>
  <c r="AD145"/>
  <c r="AC145"/>
  <c r="AD144"/>
  <c r="AC144"/>
  <c r="AD143"/>
  <c r="AC143"/>
  <c r="Y149"/>
  <c r="Z149" s="1"/>
  <c r="Y148"/>
  <c r="Z148" s="1"/>
  <c r="Y147"/>
  <c r="Z147" s="1"/>
  <c r="Y146"/>
  <c r="Z146" s="1"/>
  <c r="Y145"/>
  <c r="Z145" s="1"/>
  <c r="Y144"/>
  <c r="Z144" s="1"/>
  <c r="Y143"/>
  <c r="Z143" s="1"/>
  <c r="G72" i="53"/>
  <c r="BI130" i="70"/>
  <c r="BH16"/>
  <c r="BI16"/>
  <c r="BH17"/>
  <c r="BI17"/>
  <c r="BH18"/>
  <c r="BI18"/>
  <c r="BH19"/>
  <c r="BI19"/>
  <c r="BH20"/>
  <c r="BI20"/>
  <c r="BH21"/>
  <c r="BI21"/>
  <c r="BH22"/>
  <c r="BI22"/>
  <c r="BH23"/>
  <c r="BI23"/>
  <c r="BH24"/>
  <c r="BI24"/>
  <c r="BH25"/>
  <c r="BI25"/>
  <c r="BH26"/>
  <c r="BI26"/>
  <c r="BH27"/>
  <c r="BI27"/>
  <c r="BH28"/>
  <c r="BI28"/>
  <c r="BH29"/>
  <c r="BI29"/>
  <c r="BH30"/>
  <c r="BI30"/>
  <c r="BH31"/>
  <c r="BI31"/>
  <c r="BH32"/>
  <c r="BI32"/>
  <c r="BH33"/>
  <c r="BI33"/>
  <c r="BI131"/>
  <c r="BI121"/>
  <c r="BH130"/>
  <c r="BH131"/>
  <c r="BH121"/>
  <c r="BI68"/>
  <c r="BH68"/>
  <c r="AH58"/>
  <c r="AI58"/>
  <c r="AK58"/>
  <c r="AE60"/>
  <c r="U55"/>
  <c r="W55"/>
  <c r="X55"/>
  <c r="Y55"/>
  <c r="AC55"/>
  <c r="AD55"/>
  <c r="AE55"/>
  <c r="AH55"/>
  <c r="AR62"/>
  <c r="AT62"/>
  <c r="AU62"/>
  <c r="AW62"/>
  <c r="N27"/>
  <c r="N26"/>
  <c r="P94" i="58"/>
  <c r="AR33" i="71"/>
  <c r="AR34"/>
  <c r="AR35"/>
  <c r="AR36"/>
  <c r="AR37"/>
  <c r="AR38"/>
  <c r="AR39"/>
  <c r="AR40"/>
  <c r="AR41"/>
  <c r="AR42"/>
  <c r="P207" i="48"/>
  <c r="X70" i="71"/>
  <c r="S86" i="70"/>
  <c r="R37" i="68"/>
  <c r="AJ57" s="1"/>
  <c r="L37"/>
  <c r="O37" s="1"/>
  <c r="O33"/>
  <c r="O34"/>
  <c r="O35"/>
  <c r="O36"/>
  <c r="O38"/>
  <c r="O39"/>
  <c r="Q29"/>
  <c r="P33"/>
  <c r="Q33"/>
  <c r="P36"/>
  <c r="J30" i="58"/>
  <c r="L12"/>
  <c r="M12" s="1"/>
  <c r="L9"/>
  <c r="J9"/>
  <c r="AF70" i="71" l="1"/>
  <c r="AD70"/>
  <c r="AE70" s="1"/>
  <c r="AD57" i="68"/>
  <c r="F34" l="1"/>
  <c r="H34" s="1"/>
  <c r="D155" i="71" l="1"/>
  <c r="Z75" s="1"/>
  <c r="R151"/>
  <c r="Q151"/>
  <c r="Q148"/>
  <c r="R148" s="1"/>
  <c r="I148"/>
  <c r="AB67" s="1"/>
  <c r="D148"/>
  <c r="I147"/>
  <c r="D147"/>
  <c r="I146"/>
  <c r="AB65" s="1"/>
  <c r="D146"/>
  <c r="S145"/>
  <c r="T145" s="1"/>
  <c r="I145"/>
  <c r="D145"/>
  <c r="Z64" s="1"/>
  <c r="I144"/>
  <c r="D144"/>
  <c r="I143"/>
  <c r="D143"/>
  <c r="Z62" s="1"/>
  <c r="I142"/>
  <c r="D142"/>
  <c r="R141"/>
  <c r="Q141" s="1"/>
  <c r="S141" s="1"/>
  <c r="R138"/>
  <c r="S138" s="1"/>
  <c r="Q135"/>
  <c r="R135" s="1"/>
  <c r="AD87"/>
  <c r="Q86"/>
  <c r="O86"/>
  <c r="M86"/>
  <c r="K86" s="1"/>
  <c r="Q83"/>
  <c r="P83"/>
  <c r="M83"/>
  <c r="L83"/>
  <c r="E80"/>
  <c r="AA79"/>
  <c r="D81" s="1"/>
  <c r="E79"/>
  <c r="N78"/>
  <c r="K78"/>
  <c r="D78"/>
  <c r="AH77"/>
  <c r="D77"/>
  <c r="AA76"/>
  <c r="Z76"/>
  <c r="X76"/>
  <c r="E76"/>
  <c r="AB75"/>
  <c r="AA75"/>
  <c r="X75"/>
  <c r="C75"/>
  <c r="X74"/>
  <c r="N74"/>
  <c r="H74"/>
  <c r="C74"/>
  <c r="D73"/>
  <c r="E73" s="1"/>
  <c r="AB72"/>
  <c r="AA72"/>
  <c r="Z72"/>
  <c r="X72"/>
  <c r="C72"/>
  <c r="AB71"/>
  <c r="AA71"/>
  <c r="Z71"/>
  <c r="X71"/>
  <c r="C71"/>
  <c r="F70"/>
  <c r="C70"/>
  <c r="AP68"/>
  <c r="Q68" s="1"/>
  <c r="AU68"/>
  <c r="AK64" s="1"/>
  <c r="AA67"/>
  <c r="AH67" s="1"/>
  <c r="Z67"/>
  <c r="X67"/>
  <c r="C67"/>
  <c r="AT67"/>
  <c r="AB66"/>
  <c r="AA66"/>
  <c r="AH66" s="1"/>
  <c r="Z66"/>
  <c r="X66"/>
  <c r="F66" s="1"/>
  <c r="C66"/>
  <c r="AA65"/>
  <c r="AH65" s="1"/>
  <c r="Z65"/>
  <c r="X65"/>
  <c r="C65"/>
  <c r="AB64"/>
  <c r="AA64"/>
  <c r="AH64" s="1"/>
  <c r="X64"/>
  <c r="F64" s="1"/>
  <c r="C64"/>
  <c r="AB63"/>
  <c r="AA63"/>
  <c r="AH63" s="1"/>
  <c r="Z63"/>
  <c r="X63"/>
  <c r="P63"/>
  <c r="S63" s="1"/>
  <c r="S65" s="1"/>
  <c r="O63"/>
  <c r="R63" s="1"/>
  <c r="R65" s="1"/>
  <c r="N63"/>
  <c r="AW67" s="1"/>
  <c r="C63"/>
  <c r="BB63"/>
  <c r="AZ63"/>
  <c r="AY63"/>
  <c r="AW63"/>
  <c r="AB62"/>
  <c r="AA62"/>
  <c r="AH62" s="1"/>
  <c r="X62"/>
  <c r="C62"/>
  <c r="G61"/>
  <c r="F61"/>
  <c r="AB60"/>
  <c r="AA60"/>
  <c r="AH60" s="1"/>
  <c r="Z60"/>
  <c r="X60"/>
  <c r="C60"/>
  <c r="AP59"/>
  <c r="AJ59"/>
  <c r="Q58"/>
  <c r="R58" s="1"/>
  <c r="N58"/>
  <c r="O58" s="1"/>
  <c r="L58"/>
  <c r="AR57"/>
  <c r="AQ57"/>
  <c r="AP57"/>
  <c r="AL57"/>
  <c r="AK57"/>
  <c r="AJ57"/>
  <c r="AC57"/>
  <c r="AB57"/>
  <c r="AA57"/>
  <c r="Z57"/>
  <c r="X57"/>
  <c r="AG57" s="1"/>
  <c r="P57"/>
  <c r="AO57" s="1"/>
  <c r="O57"/>
  <c r="AN57" s="1"/>
  <c r="N57"/>
  <c r="AM57" s="1"/>
  <c r="G57"/>
  <c r="C57"/>
  <c r="AR56"/>
  <c r="AQ56"/>
  <c r="AP56"/>
  <c r="AL56"/>
  <c r="AK56"/>
  <c r="AJ56"/>
  <c r="AC56"/>
  <c r="AB56"/>
  <c r="AA56"/>
  <c r="Z56"/>
  <c r="X56"/>
  <c r="AG56" s="1"/>
  <c r="P56"/>
  <c r="AO56" s="1"/>
  <c r="O56"/>
  <c r="AN56" s="1"/>
  <c r="N56"/>
  <c r="AM56" s="1"/>
  <c r="C56"/>
  <c r="AR55"/>
  <c r="AQ55"/>
  <c r="AP55"/>
  <c r="AL55"/>
  <c r="AK55"/>
  <c r="AJ55"/>
  <c r="P55"/>
  <c r="AO55" s="1"/>
  <c r="O55"/>
  <c r="AN55" s="1"/>
  <c r="N55"/>
  <c r="AM55" s="1"/>
  <c r="AR54"/>
  <c r="AQ54"/>
  <c r="AP54"/>
  <c r="AL54"/>
  <c r="AK54"/>
  <c r="AJ54"/>
  <c r="P54"/>
  <c r="AO54" s="1"/>
  <c r="O54"/>
  <c r="AN54" s="1"/>
  <c r="N54"/>
  <c r="AM54" s="1"/>
  <c r="AR53"/>
  <c r="AQ53"/>
  <c r="AP53"/>
  <c r="AL53"/>
  <c r="AK53"/>
  <c r="AJ53"/>
  <c r="AB53"/>
  <c r="AA53"/>
  <c r="Z53"/>
  <c r="X53"/>
  <c r="P53"/>
  <c r="AO53" s="1"/>
  <c r="O53"/>
  <c r="AN53" s="1"/>
  <c r="N53"/>
  <c r="AM53" s="1"/>
  <c r="C53"/>
  <c r="AR52"/>
  <c r="AQ52"/>
  <c r="AP52"/>
  <c r="AL52"/>
  <c r="AK52"/>
  <c r="AJ52"/>
  <c r="AB52"/>
  <c r="AA52"/>
  <c r="Z52"/>
  <c r="X52"/>
  <c r="P52"/>
  <c r="AO52" s="1"/>
  <c r="O52"/>
  <c r="AN52" s="1"/>
  <c r="N52"/>
  <c r="AM52" s="1"/>
  <c r="C52"/>
  <c r="AR51"/>
  <c r="AQ51"/>
  <c r="AP51"/>
  <c r="AL51"/>
  <c r="AK51"/>
  <c r="AJ51"/>
  <c r="AB51"/>
  <c r="AA51"/>
  <c r="Z51"/>
  <c r="X51"/>
  <c r="P51"/>
  <c r="AO51" s="1"/>
  <c r="O51"/>
  <c r="AN51" s="1"/>
  <c r="N51"/>
  <c r="AM51" s="1"/>
  <c r="G51"/>
  <c r="C51"/>
  <c r="AR50"/>
  <c r="AQ50"/>
  <c r="AP50"/>
  <c r="AL50"/>
  <c r="AK50"/>
  <c r="AJ50"/>
  <c r="AB50"/>
  <c r="AA50"/>
  <c r="Z50"/>
  <c r="X50"/>
  <c r="P50"/>
  <c r="AO50" s="1"/>
  <c r="O50"/>
  <c r="AN50" s="1"/>
  <c r="N50"/>
  <c r="AM50" s="1"/>
  <c r="C50"/>
  <c r="AR49"/>
  <c r="AQ49"/>
  <c r="AP49"/>
  <c r="AL49"/>
  <c r="AK49"/>
  <c r="AJ49"/>
  <c r="AB49"/>
  <c r="AA49"/>
  <c r="Z49"/>
  <c r="X49"/>
  <c r="P49"/>
  <c r="AO49" s="1"/>
  <c r="O49"/>
  <c r="AN49" s="1"/>
  <c r="N49"/>
  <c r="AM49" s="1"/>
  <c r="C49"/>
  <c r="AR48"/>
  <c r="AQ48"/>
  <c r="AP48"/>
  <c r="AL48"/>
  <c r="AK48"/>
  <c r="AJ48"/>
  <c r="AB48"/>
  <c r="AA48"/>
  <c r="Z48"/>
  <c r="X48"/>
  <c r="P48"/>
  <c r="AO48" s="1"/>
  <c r="O48"/>
  <c r="AN48" s="1"/>
  <c r="AM48"/>
  <c r="C48"/>
  <c r="AR47"/>
  <c r="AQ47"/>
  <c r="AP47"/>
  <c r="AL47"/>
  <c r="AK47"/>
  <c r="AJ47"/>
  <c r="P47"/>
  <c r="AO47" s="1"/>
  <c r="O47"/>
  <c r="AN47" s="1"/>
  <c r="N47"/>
  <c r="AM47" s="1"/>
  <c r="AR46"/>
  <c r="AQ46"/>
  <c r="AP46"/>
  <c r="AL46"/>
  <c r="AK46"/>
  <c r="AJ46"/>
  <c r="P46"/>
  <c r="AO46" s="1"/>
  <c r="O46"/>
  <c r="AN46" s="1"/>
  <c r="N46"/>
  <c r="AM46" s="1"/>
  <c r="AR45"/>
  <c r="AQ45"/>
  <c r="AP45"/>
  <c r="AL45"/>
  <c r="AK45"/>
  <c r="AJ45"/>
  <c r="AC45"/>
  <c r="AB45"/>
  <c r="AA45"/>
  <c r="Z45"/>
  <c r="X45"/>
  <c r="P45"/>
  <c r="AO45" s="1"/>
  <c r="O45"/>
  <c r="AN45" s="1"/>
  <c r="N45"/>
  <c r="AM45" s="1"/>
  <c r="C45"/>
  <c r="AR44"/>
  <c r="AQ44"/>
  <c r="AP44"/>
  <c r="AL44"/>
  <c r="AK44"/>
  <c r="AJ44"/>
  <c r="AC44"/>
  <c r="AB44"/>
  <c r="AA44"/>
  <c r="Z44"/>
  <c r="X44"/>
  <c r="AG44" s="1"/>
  <c r="P44"/>
  <c r="AO44" s="1"/>
  <c r="O44"/>
  <c r="AN44" s="1"/>
  <c r="N44"/>
  <c r="AM44" s="1"/>
  <c r="C44"/>
  <c r="AR43"/>
  <c r="AQ43"/>
  <c r="AP43"/>
  <c r="AL43"/>
  <c r="AK43"/>
  <c r="AJ43"/>
  <c r="AC43"/>
  <c r="AB43"/>
  <c r="AA43"/>
  <c r="Z43"/>
  <c r="X43"/>
  <c r="AG43" s="1"/>
  <c r="P43"/>
  <c r="AO43" s="1"/>
  <c r="O43"/>
  <c r="AN43" s="1"/>
  <c r="N43"/>
  <c r="AM43" s="1"/>
  <c r="G43"/>
  <c r="C43"/>
  <c r="AQ42"/>
  <c r="AP42"/>
  <c r="AL42"/>
  <c r="AK42"/>
  <c r="AJ42"/>
  <c r="AC42"/>
  <c r="AB42"/>
  <c r="AA42"/>
  <c r="Z42"/>
  <c r="X42"/>
  <c r="AG42" s="1"/>
  <c r="P42"/>
  <c r="AO42" s="1"/>
  <c r="O42"/>
  <c r="AN42" s="1"/>
  <c r="N42"/>
  <c r="AM42" s="1"/>
  <c r="C42"/>
  <c r="AQ41"/>
  <c r="AP41"/>
  <c r="AL41"/>
  <c r="AK41"/>
  <c r="AJ41"/>
  <c r="P41"/>
  <c r="AO41" s="1"/>
  <c r="O41"/>
  <c r="AN41" s="1"/>
  <c r="N41"/>
  <c r="AM41" s="1"/>
  <c r="AQ40"/>
  <c r="AP40"/>
  <c r="AL40"/>
  <c r="AK40"/>
  <c r="AJ40"/>
  <c r="P40"/>
  <c r="AO40" s="1"/>
  <c r="O40"/>
  <c r="AN40" s="1"/>
  <c r="N40"/>
  <c r="AM40" s="1"/>
  <c r="AQ39"/>
  <c r="AP39"/>
  <c r="AL39"/>
  <c r="AK39"/>
  <c r="AJ39"/>
  <c r="AC39"/>
  <c r="AB39"/>
  <c r="AA39"/>
  <c r="Z39"/>
  <c r="X39"/>
  <c r="P39"/>
  <c r="AO39" s="1"/>
  <c r="O39"/>
  <c r="AN39" s="1"/>
  <c r="N39"/>
  <c r="AM39" s="1"/>
  <c r="C39"/>
  <c r="AQ38"/>
  <c r="AP38"/>
  <c r="AL38"/>
  <c r="AK38"/>
  <c r="AJ38"/>
  <c r="AC38"/>
  <c r="AB38"/>
  <c r="AA38"/>
  <c r="Z38"/>
  <c r="X38"/>
  <c r="P38"/>
  <c r="AO38" s="1"/>
  <c r="O38"/>
  <c r="AN38" s="1"/>
  <c r="N38"/>
  <c r="AM38" s="1"/>
  <c r="C38"/>
  <c r="AQ37"/>
  <c r="AP37"/>
  <c r="AL37"/>
  <c r="AK37"/>
  <c r="AJ37"/>
  <c r="AC37"/>
  <c r="AB37"/>
  <c r="AA37"/>
  <c r="Z37"/>
  <c r="X37"/>
  <c r="G37" s="1"/>
  <c r="P37"/>
  <c r="AO37" s="1"/>
  <c r="O37"/>
  <c r="AN37" s="1"/>
  <c r="N37"/>
  <c r="AM37" s="1"/>
  <c r="C37"/>
  <c r="AQ36"/>
  <c r="AP36"/>
  <c r="AL36"/>
  <c r="AK36"/>
  <c r="AJ36"/>
  <c r="AC36"/>
  <c r="AB36"/>
  <c r="AA36"/>
  <c r="Z36"/>
  <c r="X36"/>
  <c r="P36"/>
  <c r="AO36" s="1"/>
  <c r="O36"/>
  <c r="AN36" s="1"/>
  <c r="N36"/>
  <c r="AM36" s="1"/>
  <c r="C36"/>
  <c r="AQ35"/>
  <c r="AP35"/>
  <c r="AL35"/>
  <c r="AK35"/>
  <c r="AJ35"/>
  <c r="AC35"/>
  <c r="AB35"/>
  <c r="AA35"/>
  <c r="Z35"/>
  <c r="X35"/>
  <c r="P35"/>
  <c r="AO35" s="1"/>
  <c r="O35"/>
  <c r="AN35" s="1"/>
  <c r="N35"/>
  <c r="AM35" s="1"/>
  <c r="C35"/>
  <c r="AQ34"/>
  <c r="AP34"/>
  <c r="AL34"/>
  <c r="AK34"/>
  <c r="AJ34"/>
  <c r="AC34"/>
  <c r="AB34"/>
  <c r="AA34"/>
  <c r="Z34"/>
  <c r="X34"/>
  <c r="P34"/>
  <c r="AO34" s="1"/>
  <c r="O34"/>
  <c r="AN34" s="1"/>
  <c r="N34"/>
  <c r="AM34" s="1"/>
  <c r="C34"/>
  <c r="AQ33"/>
  <c r="AP33"/>
  <c r="AL33"/>
  <c r="AK33"/>
  <c r="AJ33"/>
  <c r="AC33"/>
  <c r="AB33"/>
  <c r="AA33"/>
  <c r="Z33"/>
  <c r="X33"/>
  <c r="P33"/>
  <c r="AO33" s="1"/>
  <c r="O33"/>
  <c r="AN33" s="1"/>
  <c r="N33"/>
  <c r="G33"/>
  <c r="C33"/>
  <c r="P25"/>
  <c r="O25"/>
  <c r="E23"/>
  <c r="P22"/>
  <c r="J9"/>
  <c r="J11" s="1"/>
  <c r="I190" i="70"/>
  <c r="E190" s="1"/>
  <c r="F190"/>
  <c r="I189"/>
  <c r="E189" s="1"/>
  <c r="F189"/>
  <c r="I188"/>
  <c r="E188" s="1"/>
  <c r="F188"/>
  <c r="I187"/>
  <c r="E187" s="1"/>
  <c r="F187"/>
  <c r="I184"/>
  <c r="E184" s="1"/>
  <c r="F184"/>
  <c r="C184" s="1"/>
  <c r="I183"/>
  <c r="E183" s="1"/>
  <c r="F183"/>
  <c r="C183" s="1"/>
  <c r="I182"/>
  <c r="E182" s="1"/>
  <c r="F182"/>
  <c r="C182" s="1"/>
  <c r="I181"/>
  <c r="E181" s="1"/>
  <c r="F181"/>
  <c r="C181" s="1"/>
  <c r="F178"/>
  <c r="C178" s="1"/>
  <c r="E178"/>
  <c r="F177"/>
  <c r="C177" s="1"/>
  <c r="E177"/>
  <c r="F176"/>
  <c r="C176" s="1"/>
  <c r="E176"/>
  <c r="F175"/>
  <c r="C175" s="1"/>
  <c r="E175"/>
  <c r="F174"/>
  <c r="C174" s="1"/>
  <c r="E174"/>
  <c r="F173"/>
  <c r="C173" s="1"/>
  <c r="E173"/>
  <c r="F172"/>
  <c r="C172" s="1"/>
  <c r="E172"/>
  <c r="F171"/>
  <c r="C171" s="1"/>
  <c r="E171"/>
  <c r="F170"/>
  <c r="C170" s="1"/>
  <c r="E170"/>
  <c r="I168"/>
  <c r="E168" s="1"/>
  <c r="F168"/>
  <c r="C168" s="1"/>
  <c r="I167"/>
  <c r="E167" s="1"/>
  <c r="F167"/>
  <c r="C167" s="1"/>
  <c r="I166"/>
  <c r="E166" s="1"/>
  <c r="F166"/>
  <c r="C166" s="1"/>
  <c r="F164"/>
  <c r="C164" s="1"/>
  <c r="E164"/>
  <c r="F163"/>
  <c r="C163" s="1"/>
  <c r="E163"/>
  <c r="F162"/>
  <c r="C162" s="1"/>
  <c r="E162"/>
  <c r="F161"/>
  <c r="C161" s="1"/>
  <c r="E161"/>
  <c r="F160"/>
  <c r="C160" s="1"/>
  <c r="E160"/>
  <c r="F159"/>
  <c r="C159" s="1"/>
  <c r="E159"/>
  <c r="F158"/>
  <c r="C158" s="1"/>
  <c r="E158"/>
  <c r="F157"/>
  <c r="C157" s="1"/>
  <c r="E157"/>
  <c r="F155"/>
  <c r="C155" s="1"/>
  <c r="E155"/>
  <c r="F154"/>
  <c r="C154" s="1"/>
  <c r="E154"/>
  <c r="F153"/>
  <c r="C153" s="1"/>
  <c r="E153"/>
  <c r="F152"/>
  <c r="C152" s="1"/>
  <c r="E152"/>
  <c r="F151"/>
  <c r="C151" s="1"/>
  <c r="E151"/>
  <c r="F150"/>
  <c r="C150" s="1"/>
  <c r="E150"/>
  <c r="F149"/>
  <c r="C149" s="1"/>
  <c r="E149"/>
  <c r="F148"/>
  <c r="C148" s="1"/>
  <c r="E148"/>
  <c r="F147"/>
  <c r="C147" s="1"/>
  <c r="E147"/>
  <c r="F146"/>
  <c r="C146" s="1"/>
  <c r="E146"/>
  <c r="F145"/>
  <c r="C145" s="1"/>
  <c r="E145"/>
  <c r="F144"/>
  <c r="C144" s="1"/>
  <c r="E144"/>
  <c r="F143"/>
  <c r="C143" s="1"/>
  <c r="E143"/>
  <c r="F142"/>
  <c r="C142" s="1"/>
  <c r="E142"/>
  <c r="F141"/>
  <c r="C141" s="1"/>
  <c r="E141"/>
  <c r="F140"/>
  <c r="C140" s="1"/>
  <c r="E140"/>
  <c r="F139"/>
  <c r="C139" s="1"/>
  <c r="E139"/>
  <c r="F138"/>
  <c r="C138" s="1"/>
  <c r="E138"/>
  <c r="F137"/>
  <c r="C137" s="1"/>
  <c r="E137"/>
  <c r="F135"/>
  <c r="E135"/>
  <c r="F134"/>
  <c r="C134" s="1"/>
  <c r="E134"/>
  <c r="F133"/>
  <c r="C133" s="1"/>
  <c r="E133"/>
  <c r="BF131"/>
  <c r="F132"/>
  <c r="C132" s="1"/>
  <c r="E132"/>
  <c r="BF130"/>
  <c r="F131"/>
  <c r="C131" s="1"/>
  <c r="E131"/>
  <c r="BI129"/>
  <c r="BH129"/>
  <c r="BF129"/>
  <c r="F130"/>
  <c r="C130" s="1"/>
  <c r="E130"/>
  <c r="BI128"/>
  <c r="BH128"/>
  <c r="BF128"/>
  <c r="F129"/>
  <c r="C129" s="1"/>
  <c r="E129"/>
  <c r="BI127"/>
  <c r="BH127"/>
  <c r="BF127"/>
  <c r="F128"/>
  <c r="C128" s="1"/>
  <c r="E128"/>
  <c r="BI126"/>
  <c r="BH126"/>
  <c r="BF126"/>
  <c r="F127"/>
  <c r="C127" s="1"/>
  <c r="E127"/>
  <c r="BI125"/>
  <c r="BH125"/>
  <c r="BF125"/>
  <c r="BI124"/>
  <c r="BH124"/>
  <c r="BF124"/>
  <c r="BI123"/>
  <c r="BH123"/>
  <c r="BF123"/>
  <c r="BI122"/>
  <c r="BH122"/>
  <c r="BF122"/>
  <c r="BF121"/>
  <c r="BI120"/>
  <c r="BH120"/>
  <c r="BF120"/>
  <c r="F121"/>
  <c r="E121"/>
  <c r="AI55" s="1"/>
  <c r="AL55" s="1"/>
  <c r="C121"/>
  <c r="AG55" s="1"/>
  <c r="AJ55" s="1"/>
  <c r="AK55" s="1"/>
  <c r="BI119"/>
  <c r="BH119"/>
  <c r="BF119"/>
  <c r="F120"/>
  <c r="E120"/>
  <c r="AI54" s="1"/>
  <c r="C120"/>
  <c r="AG54" s="1"/>
  <c r="BI118"/>
  <c r="BH118"/>
  <c r="BF118"/>
  <c r="F119"/>
  <c r="E119"/>
  <c r="AI53" s="1"/>
  <c r="C119"/>
  <c r="AG53" s="1"/>
  <c r="BI117"/>
  <c r="BH117"/>
  <c r="BF117"/>
  <c r="F118"/>
  <c r="C118" s="1"/>
  <c r="AG52" s="1"/>
  <c r="E118"/>
  <c r="AI52" s="1"/>
  <c r="BI116"/>
  <c r="BH116"/>
  <c r="BF116"/>
  <c r="F117"/>
  <c r="C117" s="1"/>
  <c r="AG51" s="1"/>
  <c r="E117"/>
  <c r="AI51" s="1"/>
  <c r="BI115"/>
  <c r="BH115"/>
  <c r="BF115"/>
  <c r="F116"/>
  <c r="C116" s="1"/>
  <c r="AG50" s="1"/>
  <c r="E116"/>
  <c r="AI50" s="1"/>
  <c r="BI114"/>
  <c r="BH114"/>
  <c r="BF114"/>
  <c r="F115"/>
  <c r="C115" s="1"/>
  <c r="AG49" s="1"/>
  <c r="E115"/>
  <c r="AI49" s="1"/>
  <c r="BI113"/>
  <c r="BH113"/>
  <c r="BF113"/>
  <c r="F114"/>
  <c r="C114" s="1"/>
  <c r="AG48" s="1"/>
  <c r="E114"/>
  <c r="AI48" s="1"/>
  <c r="BI112"/>
  <c r="BH112"/>
  <c r="BF112"/>
  <c r="F113"/>
  <c r="C113" s="1"/>
  <c r="AG47" s="1"/>
  <c r="E113"/>
  <c r="AI47" s="1"/>
  <c r="BI111"/>
  <c r="BH111"/>
  <c r="BF111"/>
  <c r="F112"/>
  <c r="C112" s="1"/>
  <c r="AG46" s="1"/>
  <c r="E112"/>
  <c r="AI46" s="1"/>
  <c r="BI110"/>
  <c r="BH110"/>
  <c r="BF110"/>
  <c r="F111"/>
  <c r="C111" s="1"/>
  <c r="AG45" s="1"/>
  <c r="E111"/>
  <c r="AI45" s="1"/>
  <c r="BI109"/>
  <c r="BH109"/>
  <c r="BF109"/>
  <c r="F110"/>
  <c r="C110" s="1"/>
  <c r="AG44" s="1"/>
  <c r="E110"/>
  <c r="AI44" s="1"/>
  <c r="BI108"/>
  <c r="BH108"/>
  <c r="BF108"/>
  <c r="F109"/>
  <c r="C109" s="1"/>
  <c r="AG43" s="1"/>
  <c r="E109"/>
  <c r="BI107"/>
  <c r="BH107"/>
  <c r="BF107"/>
  <c r="F108"/>
  <c r="E108"/>
  <c r="BI106"/>
  <c r="BH106"/>
  <c r="BF106"/>
  <c r="F107"/>
  <c r="E107"/>
  <c r="AI41" s="1"/>
  <c r="C107"/>
  <c r="AG41" s="1"/>
  <c r="BI105"/>
  <c r="BH105"/>
  <c r="BF105"/>
  <c r="F106"/>
  <c r="C106" s="1"/>
  <c r="AG40" s="1"/>
  <c r="E106"/>
  <c r="BI104"/>
  <c r="BH104"/>
  <c r="BF104"/>
  <c r="F105"/>
  <c r="C105" s="1"/>
  <c r="AG39" s="1"/>
  <c r="E105"/>
  <c r="AI39" s="1"/>
  <c r="BI103"/>
  <c r="BH103"/>
  <c r="BF103"/>
  <c r="F104"/>
  <c r="C104" s="1"/>
  <c r="AG38" s="1"/>
  <c r="E104"/>
  <c r="AI38" s="1"/>
  <c r="BI102"/>
  <c r="BH102"/>
  <c r="BF102"/>
  <c r="BI101"/>
  <c r="BH101"/>
  <c r="BF101"/>
  <c r="BI100"/>
  <c r="BH100"/>
  <c r="BF100"/>
  <c r="BI99"/>
  <c r="BH99"/>
  <c r="BF99"/>
  <c r="BI98"/>
  <c r="BH98"/>
  <c r="BF98"/>
  <c r="BI97"/>
  <c r="BH97"/>
  <c r="BF97"/>
  <c r="BI96"/>
  <c r="BH96"/>
  <c r="BF96"/>
  <c r="BI95"/>
  <c r="BH95"/>
  <c r="BF95"/>
  <c r="BI94"/>
  <c r="BH94"/>
  <c r="BF94"/>
  <c r="BI93"/>
  <c r="BH93"/>
  <c r="BF93"/>
  <c r="BI92"/>
  <c r="BH92"/>
  <c r="BF92"/>
  <c r="BI91"/>
  <c r="BH91"/>
  <c r="BF91"/>
  <c r="R92"/>
  <c r="Q92"/>
  <c r="BI90"/>
  <c r="BH90"/>
  <c r="BF90"/>
  <c r="BI89"/>
  <c r="BH89"/>
  <c r="BF89"/>
  <c r="BI88"/>
  <c r="BH88"/>
  <c r="BF88"/>
  <c r="Q89"/>
  <c r="R89" s="1"/>
  <c r="BI87"/>
  <c r="BH87"/>
  <c r="BF87"/>
  <c r="BI86"/>
  <c r="BH86"/>
  <c r="BF86"/>
  <c r="BI85"/>
  <c r="BH85"/>
  <c r="BF85"/>
  <c r="T86"/>
  <c r="Q86"/>
  <c r="R86" s="1"/>
  <c r="BI84"/>
  <c r="BH84"/>
  <c r="BF84"/>
  <c r="BI83"/>
  <c r="BH83"/>
  <c r="BF83"/>
  <c r="BI82"/>
  <c r="BH82"/>
  <c r="BF82"/>
  <c r="BI81"/>
  <c r="BH81"/>
  <c r="BF81"/>
  <c r="R82"/>
  <c r="Q82" s="1"/>
  <c r="S82" s="1"/>
  <c r="BI80"/>
  <c r="BH80"/>
  <c r="BF80"/>
  <c r="BI79"/>
  <c r="BH79"/>
  <c r="BF79"/>
  <c r="BI78"/>
  <c r="BH78"/>
  <c r="BF78"/>
  <c r="R79"/>
  <c r="S79" s="1"/>
  <c r="BI77"/>
  <c r="BH77"/>
  <c r="BF77"/>
  <c r="BI76"/>
  <c r="BH76"/>
  <c r="BF76"/>
  <c r="BI75"/>
  <c r="BH75"/>
  <c r="BF75"/>
  <c r="Q76"/>
  <c r="R76" s="1"/>
  <c r="BI74"/>
  <c r="BH74"/>
  <c r="BF74"/>
  <c r="BI73"/>
  <c r="BH73"/>
  <c r="BF73"/>
  <c r="BI72"/>
  <c r="BH72"/>
  <c r="BF72"/>
  <c r="BI71"/>
  <c r="BH71"/>
  <c r="BF71"/>
  <c r="BI70"/>
  <c r="BH70"/>
  <c r="BF70"/>
  <c r="BI69"/>
  <c r="BH69"/>
  <c r="BF69"/>
  <c r="BF68"/>
  <c r="BI67"/>
  <c r="BH67"/>
  <c r="BF67"/>
  <c r="AP68"/>
  <c r="AF72" s="1"/>
  <c r="BI66"/>
  <c r="BH66"/>
  <c r="BF66"/>
  <c r="AO66"/>
  <c r="BI65"/>
  <c r="BH65"/>
  <c r="BF65"/>
  <c r="BI64"/>
  <c r="BH64"/>
  <c r="BF64"/>
  <c r="BI63"/>
  <c r="BH63"/>
  <c r="BF63"/>
  <c r="BI62"/>
  <c r="BH62"/>
  <c r="BF62"/>
  <c r="AV68"/>
  <c r="AS68"/>
  <c r="Q62"/>
  <c r="AU66" s="1"/>
  <c r="P62"/>
  <c r="S62" s="1"/>
  <c r="O62"/>
  <c r="R62" s="1"/>
  <c r="R64" s="1"/>
  <c r="N62"/>
  <c r="AR66" s="1"/>
  <c r="BI61"/>
  <c r="BH61"/>
  <c r="BF61"/>
  <c r="V61"/>
  <c r="C61" s="1"/>
  <c r="BI60"/>
  <c r="BH60"/>
  <c r="BF60"/>
  <c r="D60"/>
  <c r="BI59"/>
  <c r="BH59"/>
  <c r="BF59"/>
  <c r="C59"/>
  <c r="BI58"/>
  <c r="BH58"/>
  <c r="BF58"/>
  <c r="Q58"/>
  <c r="R58" s="1"/>
  <c r="N58"/>
  <c r="O58" s="1"/>
  <c r="L58"/>
  <c r="C58"/>
  <c r="BI57"/>
  <c r="BH57"/>
  <c r="BF57"/>
  <c r="AE57"/>
  <c r="AD57"/>
  <c r="AC57"/>
  <c r="Y57"/>
  <c r="X57"/>
  <c r="W57"/>
  <c r="U57"/>
  <c r="AJ57" s="1"/>
  <c r="AK57" s="1"/>
  <c r="P57"/>
  <c r="AB57" s="1"/>
  <c r="O57"/>
  <c r="AA57" s="1"/>
  <c r="N57"/>
  <c r="Z57" s="1"/>
  <c r="D57"/>
  <c r="BI56"/>
  <c r="BH56"/>
  <c r="BF56"/>
  <c r="AE56"/>
  <c r="AD56"/>
  <c r="AC56"/>
  <c r="Y56"/>
  <c r="X56"/>
  <c r="W56"/>
  <c r="P56"/>
  <c r="AB56" s="1"/>
  <c r="O56"/>
  <c r="AA56" s="1"/>
  <c r="N56"/>
  <c r="Z56" s="1"/>
  <c r="C56"/>
  <c r="BI55"/>
  <c r="BH55"/>
  <c r="BF55"/>
  <c r="U56"/>
  <c r="AL56" s="1"/>
  <c r="P55"/>
  <c r="AB55" s="1"/>
  <c r="O55"/>
  <c r="AA55" s="1"/>
  <c r="N55"/>
  <c r="Z55" s="1"/>
  <c r="F55"/>
  <c r="E55"/>
  <c r="B55"/>
  <c r="BI54"/>
  <c r="BH54"/>
  <c r="BF54"/>
  <c r="AH54"/>
  <c r="AE54"/>
  <c r="AD54"/>
  <c r="AC54"/>
  <c r="Y54"/>
  <c r="X54"/>
  <c r="W54"/>
  <c r="U54"/>
  <c r="F54" s="1"/>
  <c r="P54"/>
  <c r="AB54" s="1"/>
  <c r="O54"/>
  <c r="AA54" s="1"/>
  <c r="N54"/>
  <c r="Z54" s="1"/>
  <c r="B54"/>
  <c r="BI53"/>
  <c r="BH53"/>
  <c r="BF53"/>
  <c r="AH53"/>
  <c r="AE53"/>
  <c r="AD53"/>
  <c r="AC53"/>
  <c r="Y53"/>
  <c r="X53"/>
  <c r="W53"/>
  <c r="U53"/>
  <c r="P53"/>
  <c r="AB53" s="1"/>
  <c r="O53"/>
  <c r="AA53" s="1"/>
  <c r="N53"/>
  <c r="Z53" s="1"/>
  <c r="B53"/>
  <c r="BI52"/>
  <c r="BH52"/>
  <c r="BF52"/>
  <c r="AH52"/>
  <c r="AE52"/>
  <c r="AD52"/>
  <c r="AC52"/>
  <c r="Y52"/>
  <c r="X52"/>
  <c r="W52"/>
  <c r="U52"/>
  <c r="E52" s="1"/>
  <c r="P52"/>
  <c r="AB52" s="1"/>
  <c r="O52"/>
  <c r="AA52" s="1"/>
  <c r="N52"/>
  <c r="Z52" s="1"/>
  <c r="B52"/>
  <c r="BI51"/>
  <c r="BH51"/>
  <c r="BF51"/>
  <c r="AH51"/>
  <c r="AE51"/>
  <c r="AD51"/>
  <c r="AC51"/>
  <c r="Y51"/>
  <c r="X51"/>
  <c r="W51"/>
  <c r="U51"/>
  <c r="E51" s="1"/>
  <c r="P51"/>
  <c r="AB51" s="1"/>
  <c r="O51"/>
  <c r="AA51" s="1"/>
  <c r="N51"/>
  <c r="Z51" s="1"/>
  <c r="F51"/>
  <c r="B51"/>
  <c r="BI50"/>
  <c r="BH50"/>
  <c r="BF50"/>
  <c r="AH50"/>
  <c r="AE50"/>
  <c r="AD50"/>
  <c r="AC50"/>
  <c r="Y50"/>
  <c r="X50"/>
  <c r="W50"/>
  <c r="U50"/>
  <c r="P50"/>
  <c r="AB50" s="1"/>
  <c r="O50"/>
  <c r="AA50" s="1"/>
  <c r="N50"/>
  <c r="Z50" s="1"/>
  <c r="B50"/>
  <c r="BI49"/>
  <c r="BH49"/>
  <c r="BF49"/>
  <c r="AH49"/>
  <c r="AE49"/>
  <c r="AD49"/>
  <c r="AC49"/>
  <c r="Y49"/>
  <c r="X49"/>
  <c r="W49"/>
  <c r="U49"/>
  <c r="E49" s="1"/>
  <c r="P49"/>
  <c r="AB49" s="1"/>
  <c r="O49"/>
  <c r="AA49" s="1"/>
  <c r="N49"/>
  <c r="Z49" s="1"/>
  <c r="B49"/>
  <c r="BI48"/>
  <c r="BH48"/>
  <c r="BF48"/>
  <c r="AH48"/>
  <c r="AE48"/>
  <c r="AD48"/>
  <c r="AC48"/>
  <c r="Y48"/>
  <c r="X48"/>
  <c r="W48"/>
  <c r="U48"/>
  <c r="E48" s="1"/>
  <c r="P48"/>
  <c r="AB48" s="1"/>
  <c r="O48"/>
  <c r="AA48" s="1"/>
  <c r="N48"/>
  <c r="Z48" s="1"/>
  <c r="B48"/>
  <c r="BI47"/>
  <c r="BH47"/>
  <c r="BF47"/>
  <c r="AH47"/>
  <c r="AE47"/>
  <c r="AD47"/>
  <c r="AC47"/>
  <c r="Y47"/>
  <c r="X47"/>
  <c r="W47"/>
  <c r="U47"/>
  <c r="E47" s="1"/>
  <c r="P47"/>
  <c r="AB47" s="1"/>
  <c r="O47"/>
  <c r="AA47" s="1"/>
  <c r="N47"/>
  <c r="Z47" s="1"/>
  <c r="B47"/>
  <c r="BI46"/>
  <c r="BH46"/>
  <c r="BF46"/>
  <c r="AH46"/>
  <c r="AE46"/>
  <c r="AD46"/>
  <c r="AC46"/>
  <c r="Y46"/>
  <c r="X46"/>
  <c r="W46"/>
  <c r="U46"/>
  <c r="E46" s="1"/>
  <c r="P46"/>
  <c r="AB46" s="1"/>
  <c r="O46"/>
  <c r="AA46" s="1"/>
  <c r="N46"/>
  <c r="Z46" s="1"/>
  <c r="B46"/>
  <c r="BI45"/>
  <c r="BH45"/>
  <c r="BF45"/>
  <c r="AH45"/>
  <c r="AE45"/>
  <c r="AD45"/>
  <c r="AC45"/>
  <c r="Y45"/>
  <c r="X45"/>
  <c r="W45"/>
  <c r="U45"/>
  <c r="P45"/>
  <c r="AB45" s="1"/>
  <c r="O45"/>
  <c r="AA45" s="1"/>
  <c r="N45"/>
  <c r="Z45" s="1"/>
  <c r="B45"/>
  <c r="BI44"/>
  <c r="BH44"/>
  <c r="BF44"/>
  <c r="AH44"/>
  <c r="AE44"/>
  <c r="AD44"/>
  <c r="Y44"/>
  <c r="X44"/>
  <c r="U44"/>
  <c r="F44" s="1"/>
  <c r="P44"/>
  <c r="AB44" s="1"/>
  <c r="O44"/>
  <c r="AA44" s="1"/>
  <c r="W44"/>
  <c r="B44"/>
  <c r="BI43"/>
  <c r="BH43"/>
  <c r="BF43"/>
  <c r="AI43"/>
  <c r="AH43"/>
  <c r="AE43"/>
  <c r="AD43"/>
  <c r="AC43"/>
  <c r="Y43"/>
  <c r="X43"/>
  <c r="W43"/>
  <c r="U43"/>
  <c r="P43"/>
  <c r="AB43" s="1"/>
  <c r="O43"/>
  <c r="AA43" s="1"/>
  <c r="Z43"/>
  <c r="B43"/>
  <c r="BI42"/>
  <c r="BH42"/>
  <c r="BF42"/>
  <c r="AI42"/>
  <c r="AH42"/>
  <c r="AE42"/>
  <c r="AD42"/>
  <c r="AC42"/>
  <c r="Y42"/>
  <c r="X42"/>
  <c r="W42"/>
  <c r="U42"/>
  <c r="P42"/>
  <c r="AB42" s="1"/>
  <c r="O42"/>
  <c r="AA42" s="1"/>
  <c r="N42"/>
  <c r="Z42" s="1"/>
  <c r="B42"/>
  <c r="BI41"/>
  <c r="BH41"/>
  <c r="BF41"/>
  <c r="AH41"/>
  <c r="AE41"/>
  <c r="AD41"/>
  <c r="AC41"/>
  <c r="Y41"/>
  <c r="X41"/>
  <c r="W41"/>
  <c r="U41"/>
  <c r="Y69" s="1"/>
  <c r="AA69" s="1"/>
  <c r="P41"/>
  <c r="AB41" s="1"/>
  <c r="O41"/>
  <c r="AA41" s="1"/>
  <c r="N41"/>
  <c r="Z41" s="1"/>
  <c r="B41"/>
  <c r="BI40"/>
  <c r="BH40"/>
  <c r="BF40"/>
  <c r="AI40"/>
  <c r="AH40"/>
  <c r="AE40"/>
  <c r="AD40"/>
  <c r="AC40"/>
  <c r="Y40"/>
  <c r="X40"/>
  <c r="W40"/>
  <c r="U40"/>
  <c r="E40" s="1"/>
  <c r="P40"/>
  <c r="AB40" s="1"/>
  <c r="O40"/>
  <c r="AA40" s="1"/>
  <c r="N40"/>
  <c r="Z40" s="1"/>
  <c r="B40"/>
  <c r="BI39"/>
  <c r="BH39"/>
  <c r="BF39"/>
  <c r="AH39"/>
  <c r="AE39"/>
  <c r="AD39"/>
  <c r="AC39"/>
  <c r="Z39"/>
  <c r="Y39"/>
  <c r="X39"/>
  <c r="W39"/>
  <c r="U39"/>
  <c r="P39"/>
  <c r="AB39" s="1"/>
  <c r="O39"/>
  <c r="AA39" s="1"/>
  <c r="N39"/>
  <c r="B39"/>
  <c r="BI38"/>
  <c r="BH38"/>
  <c r="BF38"/>
  <c r="AH38"/>
  <c r="U38"/>
  <c r="B38"/>
  <c r="BI37"/>
  <c r="BH37"/>
  <c r="BF37"/>
  <c r="BI36"/>
  <c r="BH36"/>
  <c r="BF36"/>
  <c r="BI35"/>
  <c r="BH35"/>
  <c r="BF35"/>
  <c r="BI34"/>
  <c r="BH34"/>
  <c r="BF34"/>
  <c r="BF33"/>
  <c r="BF32"/>
  <c r="BF31"/>
  <c r="P31"/>
  <c r="N31"/>
  <c r="H31"/>
  <c r="E31"/>
  <c r="D31"/>
  <c r="BF30"/>
  <c r="BF29"/>
  <c r="E29"/>
  <c r="BF28"/>
  <c r="BF27"/>
  <c r="BF26"/>
  <c r="BF25"/>
  <c r="BF24"/>
  <c r="D24"/>
  <c r="BF23"/>
  <c r="BF22"/>
  <c r="BF21"/>
  <c r="BF20"/>
  <c r="BF19"/>
  <c r="BF18"/>
  <c r="BF17"/>
  <c r="BF16"/>
  <c r="BI15"/>
  <c r="BH15"/>
  <c r="BF15"/>
  <c r="BI14"/>
  <c r="BH14"/>
  <c r="BF14"/>
  <c r="BI13"/>
  <c r="BH13"/>
  <c r="BF13"/>
  <c r="BI12"/>
  <c r="BH12"/>
  <c r="BF12"/>
  <c r="BI11"/>
  <c r="BH11"/>
  <c r="BF11"/>
  <c r="H11"/>
  <c r="H13" s="1"/>
  <c r="BI10"/>
  <c r="BH10"/>
  <c r="BF10"/>
  <c r="BI9"/>
  <c r="BH9"/>
  <c r="BF9"/>
  <c r="U9"/>
  <c r="BI8"/>
  <c r="BH8"/>
  <c r="BF8"/>
  <c r="BI7"/>
  <c r="BH7"/>
  <c r="BF7"/>
  <c r="BI6"/>
  <c r="BH6"/>
  <c r="BF6"/>
  <c r="BI5"/>
  <c r="BH5"/>
  <c r="BF5"/>
  <c r="AL72" l="1"/>
  <c r="AL71" s="1"/>
  <c r="AA20" i="71"/>
  <c r="AC20" s="1"/>
  <c r="AA68" i="70"/>
  <c r="Y68"/>
  <c r="F42"/>
  <c r="Y70"/>
  <c r="AA70" s="1"/>
  <c r="Y71"/>
  <c r="AA71" s="1"/>
  <c r="AI72"/>
  <c r="AF70"/>
  <c r="AF71"/>
  <c r="Y72"/>
  <c r="AA72" s="1"/>
  <c r="C11"/>
  <c r="G11"/>
  <c r="AA21" i="71"/>
  <c r="AC21" s="1"/>
  <c r="AA22"/>
  <c r="AC22" s="1"/>
  <c r="F33"/>
  <c r="F71"/>
  <c r="D9"/>
  <c r="I9"/>
  <c r="G44"/>
  <c r="AI66"/>
  <c r="F74"/>
  <c r="F49" i="70"/>
  <c r="U58"/>
  <c r="F46" s="1"/>
  <c r="AD64"/>
  <c r="R63" s="1"/>
  <c r="R65" s="1"/>
  <c r="AL52"/>
  <c r="F40"/>
  <c r="AL47"/>
  <c r="T76"/>
  <c r="F52"/>
  <c r="AL54"/>
  <c r="Q64"/>
  <c r="AD52" i="71"/>
  <c r="AD53"/>
  <c r="F57"/>
  <c r="AF57"/>
  <c r="AX68"/>
  <c r="AN64" s="1"/>
  <c r="AD63"/>
  <c r="AD71"/>
  <c r="G53"/>
  <c r="F43"/>
  <c r="AF43"/>
  <c r="AD49"/>
  <c r="AI63"/>
  <c r="AD72"/>
  <c r="AF33"/>
  <c r="F37"/>
  <c r="AF37"/>
  <c r="G63"/>
  <c r="BA68"/>
  <c r="AE64" i="70"/>
  <c r="AL48"/>
  <c r="AL51"/>
  <c r="AJ51"/>
  <c r="AK51" s="1"/>
  <c r="AJ39"/>
  <c r="AK39" s="1"/>
  <c r="AJ41"/>
  <c r="AK41" s="1"/>
  <c r="AL40"/>
  <c r="AL49"/>
  <c r="AJ49"/>
  <c r="G49" s="1"/>
  <c r="E42"/>
  <c r="AL42"/>
  <c r="Y64"/>
  <c r="X64"/>
  <c r="E53"/>
  <c r="E50"/>
  <c r="AL50"/>
  <c r="G38" i="71"/>
  <c r="G49"/>
  <c r="AM59"/>
  <c r="AJ58"/>
  <c r="AD50"/>
  <c r="AE50" s="1"/>
  <c r="AD51"/>
  <c r="AI62"/>
  <c r="AI65"/>
  <c r="AP58"/>
  <c r="AF64"/>
  <c r="AI67"/>
  <c r="AD76"/>
  <c r="AE76" s="1"/>
  <c r="G48"/>
  <c r="G50"/>
  <c r="G52"/>
  <c r="AM33"/>
  <c r="AF34"/>
  <c r="AF36"/>
  <c r="AD38"/>
  <c r="AE38" s="1"/>
  <c r="AD39"/>
  <c r="H39" s="1"/>
  <c r="AF42"/>
  <c r="AD44"/>
  <c r="H44" s="1"/>
  <c r="AD45"/>
  <c r="AE45" s="1"/>
  <c r="F63"/>
  <c r="AI64"/>
  <c r="AD66"/>
  <c r="H66" s="1"/>
  <c r="AD75"/>
  <c r="AE75" s="1"/>
  <c r="T135"/>
  <c r="G36"/>
  <c r="AO58"/>
  <c r="AL58"/>
  <c r="AR58"/>
  <c r="AF63"/>
  <c r="F65"/>
  <c r="AF67"/>
  <c r="AF71"/>
  <c r="AD48"/>
  <c r="AE48" s="1"/>
  <c r="AI60"/>
  <c r="F34"/>
  <c r="AN58"/>
  <c r="AK58"/>
  <c r="AQ58"/>
  <c r="AD34"/>
  <c r="AE34" s="1"/>
  <c r="AD35"/>
  <c r="AE35" s="1"/>
  <c r="F38"/>
  <c r="AF38"/>
  <c r="F44"/>
  <c r="AF44"/>
  <c r="AF56"/>
  <c r="AD64"/>
  <c r="AE64" s="1"/>
  <c r="G71"/>
  <c r="AL38" i="70"/>
  <c r="AL41"/>
  <c r="AL53"/>
  <c r="AJ50"/>
  <c r="AK50" s="1"/>
  <c r="AJ43"/>
  <c r="G43" s="1"/>
  <c r="E44"/>
  <c r="AL44"/>
  <c r="AL45"/>
  <c r="AL46"/>
  <c r="AJ44"/>
  <c r="AK44" s="1"/>
  <c r="AJ52"/>
  <c r="G52" s="1"/>
  <c r="AJ46"/>
  <c r="AK46" s="1"/>
  <c r="AB64"/>
  <c r="AL39"/>
  <c r="N44"/>
  <c r="Z44" s="1"/>
  <c r="Z64" s="1"/>
  <c r="AJ47"/>
  <c r="AJ54"/>
  <c r="AK54" s="1"/>
  <c r="AJ40"/>
  <c r="G40" s="1"/>
  <c r="AJ48"/>
  <c r="G48" s="1"/>
  <c r="AJ53"/>
  <c r="AK53" s="1"/>
  <c r="AL43"/>
  <c r="E38"/>
  <c r="AJ38"/>
  <c r="E45"/>
  <c r="AJ45"/>
  <c r="AK45" s="1"/>
  <c r="H52" i="71"/>
  <c r="AE52"/>
  <c r="H72"/>
  <c r="AE72"/>
  <c r="H38"/>
  <c r="H45"/>
  <c r="AM58"/>
  <c r="H49"/>
  <c r="AE49"/>
  <c r="H51"/>
  <c r="AE51"/>
  <c r="H53"/>
  <c r="AE53"/>
  <c r="AE63"/>
  <c r="H63"/>
  <c r="AT66"/>
  <c r="AV66" s="1"/>
  <c r="AK62"/>
  <c r="AK63"/>
  <c r="H71"/>
  <c r="AE71"/>
  <c r="AG45"/>
  <c r="AG68" s="1"/>
  <c r="F62"/>
  <c r="Q63"/>
  <c r="AD67"/>
  <c r="G72"/>
  <c r="AF72"/>
  <c r="G75"/>
  <c r="AF75"/>
  <c r="AD33"/>
  <c r="G35"/>
  <c r="AF35"/>
  <c r="F36"/>
  <c r="AD37"/>
  <c r="G39"/>
  <c r="AF39"/>
  <c r="F42"/>
  <c r="AD43"/>
  <c r="G45"/>
  <c r="AF45"/>
  <c r="F48"/>
  <c r="AF48"/>
  <c r="F49"/>
  <c r="AF49"/>
  <c r="F50"/>
  <c r="AF50"/>
  <c r="F51"/>
  <c r="AF51"/>
  <c r="F52"/>
  <c r="AF52"/>
  <c r="F53"/>
  <c r="AF53"/>
  <c r="F56"/>
  <c r="AD57"/>
  <c r="G60"/>
  <c r="AF60"/>
  <c r="AF62"/>
  <c r="G64"/>
  <c r="AF65"/>
  <c r="AF66"/>
  <c r="G67"/>
  <c r="F72"/>
  <c r="X73"/>
  <c r="AA23" s="1"/>
  <c r="F75"/>
  <c r="F35"/>
  <c r="AD36"/>
  <c r="F39"/>
  <c r="AD42"/>
  <c r="F45"/>
  <c r="AD56"/>
  <c r="F60"/>
  <c r="G65"/>
  <c r="G66"/>
  <c r="F67"/>
  <c r="X77"/>
  <c r="Q145"/>
  <c r="R145" s="1"/>
  <c r="AD60"/>
  <c r="AD62"/>
  <c r="AD65"/>
  <c r="G54" i="70"/>
  <c r="W64"/>
  <c r="AA64"/>
  <c r="AO65"/>
  <c r="AQ65" s="1"/>
  <c r="F39"/>
  <c r="F43"/>
  <c r="AC44"/>
  <c r="AC64" s="1"/>
  <c r="F48"/>
  <c r="F50"/>
  <c r="E39"/>
  <c r="E41"/>
  <c r="E43"/>
  <c r="E54"/>
  <c r="G55"/>
  <c r="Q67"/>
  <c r="C108"/>
  <c r="AG42" s="1"/>
  <c r="AJ42" s="1"/>
  <c r="AL70" l="1"/>
  <c r="AC23" i="71"/>
  <c r="C15" i="70"/>
  <c r="D15" s="1"/>
  <c r="AK43"/>
  <c r="AK40"/>
  <c r="AA73"/>
  <c r="AA75" s="1"/>
  <c r="AI71"/>
  <c r="AR64" s="1"/>
  <c r="AT64" s="1"/>
  <c r="AI70"/>
  <c r="AR63" s="1"/>
  <c r="AT63" s="1"/>
  <c r="AK49"/>
  <c r="Y73"/>
  <c r="AA24" i="71"/>
  <c r="AC24"/>
  <c r="AC26" s="1"/>
  <c r="B87" s="1"/>
  <c r="G74"/>
  <c r="AK48" i="70"/>
  <c r="G10"/>
  <c r="I8" i="71"/>
  <c r="AK60" i="70"/>
  <c r="G44"/>
  <c r="G51"/>
  <c r="Q63"/>
  <c r="Q65" s="1"/>
  <c r="AR65"/>
  <c r="AT65" s="1"/>
  <c r="AK52"/>
  <c r="H35" i="71"/>
  <c r="U59" i="70"/>
  <c r="G47" s="1"/>
  <c r="G39"/>
  <c r="AO64"/>
  <c r="AQ64" s="1"/>
  <c r="AO63"/>
  <c r="AQ63" s="1"/>
  <c r="G70" i="71"/>
  <c r="G56"/>
  <c r="G42"/>
  <c r="AN63"/>
  <c r="AN62"/>
  <c r="AW64" s="1"/>
  <c r="AY64" s="1"/>
  <c r="AW66"/>
  <c r="AY66" s="1"/>
  <c r="AE39"/>
  <c r="H48"/>
  <c r="H50"/>
  <c r="H64"/>
  <c r="AK47" i="70"/>
  <c r="F57"/>
  <c r="F47"/>
  <c r="H75" i="71"/>
  <c r="AE66"/>
  <c r="AE44"/>
  <c r="AI68"/>
  <c r="AD77"/>
  <c r="H34" s="1"/>
  <c r="AF76"/>
  <c r="D13" s="1"/>
  <c r="E13" s="1"/>
  <c r="AK62" i="70"/>
  <c r="F38"/>
  <c r="F53"/>
  <c r="F41"/>
  <c r="AK38"/>
  <c r="F45"/>
  <c r="AK64"/>
  <c r="AK65"/>
  <c r="N61"/>
  <c r="O64" s="1"/>
  <c r="O63" s="1"/>
  <c r="O65" s="1"/>
  <c r="H56" i="71"/>
  <c r="AE56"/>
  <c r="H36"/>
  <c r="AE36"/>
  <c r="Q65"/>
  <c r="AZ67"/>
  <c r="G78"/>
  <c r="AD93"/>
  <c r="AE62"/>
  <c r="AE60"/>
  <c r="H60"/>
  <c r="AE67"/>
  <c r="H67"/>
  <c r="AT64"/>
  <c r="AV64" s="1"/>
  <c r="AD90"/>
  <c r="AD91"/>
  <c r="G62"/>
  <c r="G34"/>
  <c r="G81"/>
  <c r="AE42"/>
  <c r="AE65"/>
  <c r="H65"/>
  <c r="H57"/>
  <c r="AE57"/>
  <c r="H43"/>
  <c r="AE43"/>
  <c r="H37"/>
  <c r="AE37"/>
  <c r="AD94"/>
  <c r="H33"/>
  <c r="AE33"/>
  <c r="AT65"/>
  <c r="AV65" s="1"/>
  <c r="AW65"/>
  <c r="AY65" s="1"/>
  <c r="AQ64"/>
  <c r="AK42" i="70"/>
  <c r="G42"/>
  <c r="AU65"/>
  <c r="AW65" s="1"/>
  <c r="K61"/>
  <c r="G46" l="1"/>
  <c r="G7"/>
  <c r="C7"/>
  <c r="D5" i="71"/>
  <c r="B67" i="70"/>
  <c r="AK59"/>
  <c r="AK67" s="1"/>
  <c r="AU63"/>
  <c r="AW63" s="1"/>
  <c r="AU64"/>
  <c r="AW64" s="1"/>
  <c r="H78" i="71"/>
  <c r="H42"/>
  <c r="H62"/>
  <c r="H70"/>
  <c r="G38" i="70"/>
  <c r="G50"/>
  <c r="F59"/>
  <c r="N61" i="71"/>
  <c r="Q61"/>
  <c r="K61"/>
  <c r="K62" s="1"/>
  <c r="M65" s="1"/>
  <c r="M64" s="1"/>
  <c r="M66" s="1"/>
  <c r="P64" i="70"/>
  <c r="P63" s="1"/>
  <c r="P65" s="1"/>
  <c r="N64"/>
  <c r="N63" s="1"/>
  <c r="N65" s="1"/>
  <c r="G53"/>
  <c r="S64"/>
  <c r="S63" s="1"/>
  <c r="S65" s="1"/>
  <c r="C14" s="1"/>
  <c r="H83" i="71"/>
  <c r="G83"/>
  <c r="AD88"/>
  <c r="AD96" s="1"/>
  <c r="I6" s="1"/>
  <c r="AZ66"/>
  <c r="BB66" s="1"/>
  <c r="AQ63"/>
  <c r="AQ62"/>
  <c r="I5"/>
  <c r="L64" i="70"/>
  <c r="L63" s="1"/>
  <c r="L65" s="1"/>
  <c r="M64"/>
  <c r="M63" s="1"/>
  <c r="M65" s="1"/>
  <c r="K64"/>
  <c r="K63" s="1"/>
  <c r="K65" s="1"/>
  <c r="G45"/>
  <c r="G57"/>
  <c r="G41"/>
  <c r="G8" l="1"/>
  <c r="V9" s="1"/>
  <c r="P10" s="1"/>
  <c r="P11" s="1"/>
  <c r="N62" i="71"/>
  <c r="P65" s="1"/>
  <c r="P64" s="1"/>
  <c r="P66" s="1"/>
  <c r="K65"/>
  <c r="K64" s="1"/>
  <c r="K66" s="1"/>
  <c r="C13" i="70"/>
  <c r="AK66"/>
  <c r="L65" i="71"/>
  <c r="L64" s="1"/>
  <c r="L66" s="1"/>
  <c r="AI77"/>
  <c r="O9" s="1"/>
  <c r="O10" s="1"/>
  <c r="S64"/>
  <c r="S66" s="1"/>
  <c r="R64"/>
  <c r="R66" s="1"/>
  <c r="AD95"/>
  <c r="H85" s="1"/>
  <c r="Q64"/>
  <c r="Q66" s="1"/>
  <c r="O66" i="70"/>
  <c r="G59"/>
  <c r="R66"/>
  <c r="AZ64" i="71"/>
  <c r="BB64" s="1"/>
  <c r="I7"/>
  <c r="AI76"/>
  <c r="AZ65"/>
  <c r="BB65" s="1"/>
  <c r="L66" i="70"/>
  <c r="C12"/>
  <c r="N10" l="1"/>
  <c r="N11" s="1"/>
  <c r="L10"/>
  <c r="L11" s="1"/>
  <c r="G9"/>
  <c r="N14" s="1"/>
  <c r="N13" s="1"/>
  <c r="V8"/>
  <c r="V10" s="1"/>
  <c r="C8"/>
  <c r="C9" s="1"/>
  <c r="C65"/>
  <c r="F65"/>
  <c r="D6" i="71"/>
  <c r="D7" s="1"/>
  <c r="E85"/>
  <c r="O65"/>
  <c r="O64" s="1"/>
  <c r="O66" s="1"/>
  <c r="N65"/>
  <c r="N64" s="1"/>
  <c r="N66" s="1"/>
  <c r="Q9"/>
  <c r="Q10" s="1"/>
  <c r="S9"/>
  <c r="S10" s="1"/>
  <c r="N9" i="70"/>
  <c r="Q13" i="71"/>
  <c r="Q12" s="1"/>
  <c r="S13"/>
  <c r="S12" s="1"/>
  <c r="O13"/>
  <c r="O12" s="1"/>
  <c r="Q8"/>
  <c r="S8"/>
  <c r="AI78"/>
  <c r="O8"/>
  <c r="O11" s="1"/>
  <c r="L14" i="70" l="1"/>
  <c r="L13" s="1"/>
  <c r="P14"/>
  <c r="P13" s="1"/>
  <c r="L9"/>
  <c r="L12" s="1"/>
  <c r="P9"/>
  <c r="P12" s="1"/>
  <c r="N12"/>
  <c r="S11" i="71"/>
  <c r="Q11"/>
  <c r="O60" i="68" l="1"/>
  <c r="AQ63" s="1"/>
  <c r="R60"/>
  <c r="AT63" s="1"/>
  <c r="AN63"/>
  <c r="R66"/>
  <c r="J92" i="58" l="1"/>
  <c r="U198" i="48"/>
  <c r="U196"/>
  <c r="S198"/>
  <c r="U203"/>
  <c r="T205"/>
  <c r="U205"/>
  <c r="S217"/>
  <c r="U239"/>
  <c r="E47" i="68" l="1"/>
  <c r="I44"/>
  <c r="D44"/>
  <c r="F43"/>
  <c r="Z45"/>
  <c r="D46"/>
  <c r="D45"/>
  <c r="F127"/>
  <c r="F115"/>
  <c r="V41" s="1"/>
  <c r="F102"/>
  <c r="V28" s="1"/>
  <c r="F101"/>
  <c r="V27" s="1"/>
  <c r="V26"/>
  <c r="R89"/>
  <c r="Q89"/>
  <c r="Q86"/>
  <c r="R86" s="1"/>
  <c r="S83"/>
  <c r="R79"/>
  <c r="Q79" s="1"/>
  <c r="S79" s="1"/>
  <c r="R76"/>
  <c r="S76" s="1"/>
  <c r="Q73"/>
  <c r="R73" s="1"/>
  <c r="AO64"/>
  <c r="AD61" s="1"/>
  <c r="L64"/>
  <c r="Q60"/>
  <c r="T60" s="1"/>
  <c r="T62" s="1"/>
  <c r="P60"/>
  <c r="S60" s="1"/>
  <c r="S62" s="1"/>
  <c r="AV59"/>
  <c r="AS59"/>
  <c r="AQ59"/>
  <c r="AT59" s="1"/>
  <c r="Y58"/>
  <c r="L65"/>
  <c r="R56"/>
  <c r="R64" s="1"/>
  <c r="O56"/>
  <c r="O64" s="1"/>
  <c r="M56"/>
  <c r="AL55"/>
  <c r="AK55"/>
  <c r="AJ55"/>
  <c r="AF55"/>
  <c r="AE55"/>
  <c r="AD55"/>
  <c r="Q55"/>
  <c r="AI55" s="1"/>
  <c r="P55"/>
  <c r="AH55" s="1"/>
  <c r="O55"/>
  <c r="AG55" s="1"/>
  <c r="AL54"/>
  <c r="AK54"/>
  <c r="AJ54"/>
  <c r="AF54"/>
  <c r="AE54"/>
  <c r="AD54"/>
  <c r="Q54"/>
  <c r="AI54" s="1"/>
  <c r="P54"/>
  <c r="AH54" s="1"/>
  <c r="O54"/>
  <c r="AG54" s="1"/>
  <c r="AL53"/>
  <c r="AK53"/>
  <c r="AJ53"/>
  <c r="AF53"/>
  <c r="AE53"/>
  <c r="AD53"/>
  <c r="Q53"/>
  <c r="AI53" s="1"/>
  <c r="P53"/>
  <c r="AH53" s="1"/>
  <c r="O53"/>
  <c r="AG53" s="1"/>
  <c r="AL52"/>
  <c r="AK52"/>
  <c r="AJ52"/>
  <c r="AF52"/>
  <c r="AE52"/>
  <c r="AD52"/>
  <c r="Q52"/>
  <c r="AI52" s="1"/>
  <c r="P52"/>
  <c r="AH52" s="1"/>
  <c r="O52"/>
  <c r="AG52" s="1"/>
  <c r="AL51"/>
  <c r="AK51"/>
  <c r="AJ51"/>
  <c r="AF51"/>
  <c r="AE51"/>
  <c r="AD51"/>
  <c r="Q51"/>
  <c r="AI51" s="1"/>
  <c r="P51"/>
  <c r="AH51" s="1"/>
  <c r="O51"/>
  <c r="AG51" s="1"/>
  <c r="AL50"/>
  <c r="AK50"/>
  <c r="AJ50"/>
  <c r="AF50"/>
  <c r="AE50"/>
  <c r="AD50"/>
  <c r="Q50"/>
  <c r="AI50" s="1"/>
  <c r="P50"/>
  <c r="AH50" s="1"/>
  <c r="O50"/>
  <c r="AG50" s="1"/>
  <c r="AL49"/>
  <c r="AK49"/>
  <c r="AJ49"/>
  <c r="AF49"/>
  <c r="AE49"/>
  <c r="AD49"/>
  <c r="Q49"/>
  <c r="AI49" s="1"/>
  <c r="P49"/>
  <c r="AH49" s="1"/>
  <c r="O49"/>
  <c r="AG49" s="1"/>
  <c r="AL48"/>
  <c r="AK48"/>
  <c r="AJ48"/>
  <c r="AF48"/>
  <c r="AE48"/>
  <c r="AD48"/>
  <c r="Q48"/>
  <c r="AI48" s="1"/>
  <c r="P48"/>
  <c r="AH48" s="1"/>
  <c r="O48"/>
  <c r="AG48" s="1"/>
  <c r="AL47"/>
  <c r="AK47"/>
  <c r="AJ47"/>
  <c r="AF47"/>
  <c r="AE47"/>
  <c r="AD47"/>
  <c r="Q47"/>
  <c r="AI47" s="1"/>
  <c r="P47"/>
  <c r="AH47" s="1"/>
  <c r="O47"/>
  <c r="AG47" s="1"/>
  <c r="AL46"/>
  <c r="AK46"/>
  <c r="AJ46"/>
  <c r="AF46"/>
  <c r="AE46"/>
  <c r="AD46"/>
  <c r="W46"/>
  <c r="D48" s="1"/>
  <c r="Q46"/>
  <c r="AI46" s="1"/>
  <c r="P46"/>
  <c r="AH46" s="1"/>
  <c r="O46"/>
  <c r="AG46" s="1"/>
  <c r="AL45"/>
  <c r="AK45"/>
  <c r="AJ45"/>
  <c r="AF45"/>
  <c r="AE45"/>
  <c r="AD45"/>
  <c r="Q45"/>
  <c r="AI45" s="1"/>
  <c r="P45"/>
  <c r="AH45" s="1"/>
  <c r="O45"/>
  <c r="AG45" s="1"/>
  <c r="AL44"/>
  <c r="AK44"/>
  <c r="AJ44"/>
  <c r="AF44"/>
  <c r="AE44"/>
  <c r="AD44"/>
  <c r="Q44"/>
  <c r="AI44" s="1"/>
  <c r="P44"/>
  <c r="AH44" s="1"/>
  <c r="O44"/>
  <c r="AG44" s="1"/>
  <c r="AL43"/>
  <c r="AK43"/>
  <c r="AJ43"/>
  <c r="AF43"/>
  <c r="AE43"/>
  <c r="AD43"/>
  <c r="Q43"/>
  <c r="AI43" s="1"/>
  <c r="P43"/>
  <c r="AH43" s="1"/>
  <c r="O43"/>
  <c r="AG43" s="1"/>
  <c r="AL42"/>
  <c r="AK42"/>
  <c r="AJ42"/>
  <c r="AF42"/>
  <c r="AE42"/>
  <c r="AD42"/>
  <c r="X42"/>
  <c r="W42"/>
  <c r="V42"/>
  <c r="Q42"/>
  <c r="AI42" s="1"/>
  <c r="P42"/>
  <c r="AH42" s="1"/>
  <c r="O42"/>
  <c r="AG42" s="1"/>
  <c r="F42"/>
  <c r="C42"/>
  <c r="AL41"/>
  <c r="AK41"/>
  <c r="AJ41"/>
  <c r="AF41"/>
  <c r="AE41"/>
  <c r="AD41"/>
  <c r="X41"/>
  <c r="W41"/>
  <c r="Q41"/>
  <c r="AI41" s="1"/>
  <c r="P41"/>
  <c r="AH41" s="1"/>
  <c r="O41"/>
  <c r="AG41" s="1"/>
  <c r="F41"/>
  <c r="H41" s="1"/>
  <c r="C41"/>
  <c r="AL40"/>
  <c r="AK40"/>
  <c r="AJ40"/>
  <c r="AF40"/>
  <c r="AE40"/>
  <c r="AD40"/>
  <c r="X40"/>
  <c r="W40"/>
  <c r="V40"/>
  <c r="Q40"/>
  <c r="AI40" s="1"/>
  <c r="P40"/>
  <c r="AH40" s="1"/>
  <c r="O40"/>
  <c r="AG40" s="1"/>
  <c r="F40"/>
  <c r="H40" s="1"/>
  <c r="C40"/>
  <c r="AL39"/>
  <c r="AK39"/>
  <c r="AJ39"/>
  <c r="AF39"/>
  <c r="AE39"/>
  <c r="AD39"/>
  <c r="X39"/>
  <c r="W39"/>
  <c r="V39"/>
  <c r="Q39"/>
  <c r="AI39" s="1"/>
  <c r="P39"/>
  <c r="AH39" s="1"/>
  <c r="AG39"/>
  <c r="F39"/>
  <c r="H39" s="1"/>
  <c r="C39"/>
  <c r="AL38"/>
  <c r="AK38"/>
  <c r="AJ38"/>
  <c r="AF38"/>
  <c r="AE38"/>
  <c r="AD38"/>
  <c r="X38"/>
  <c r="W38"/>
  <c r="V38"/>
  <c r="Q38"/>
  <c r="AI38" s="1"/>
  <c r="P38"/>
  <c r="AH38" s="1"/>
  <c r="AG38"/>
  <c r="F38"/>
  <c r="H38" s="1"/>
  <c r="C38"/>
  <c r="AL37"/>
  <c r="AK37"/>
  <c r="AJ37"/>
  <c r="AF37"/>
  <c r="AE37"/>
  <c r="AD37"/>
  <c r="X37"/>
  <c r="W37"/>
  <c r="V37"/>
  <c r="Q37"/>
  <c r="P37"/>
  <c r="AH37" s="1"/>
  <c r="AG37"/>
  <c r="F37"/>
  <c r="C37"/>
  <c r="AL36"/>
  <c r="AK36"/>
  <c r="AJ36"/>
  <c r="AF36"/>
  <c r="AE36"/>
  <c r="AD36"/>
  <c r="Q36"/>
  <c r="AI36" s="1"/>
  <c r="AH36"/>
  <c r="AG36"/>
  <c r="AL35"/>
  <c r="AK35"/>
  <c r="AJ35"/>
  <c r="AF35"/>
  <c r="AE35"/>
  <c r="AD35"/>
  <c r="Q35"/>
  <c r="AI35" s="1"/>
  <c r="P35"/>
  <c r="AH35" s="1"/>
  <c r="AG35"/>
  <c r="AL34"/>
  <c r="AK34"/>
  <c r="AJ34"/>
  <c r="AF34"/>
  <c r="AE34"/>
  <c r="AD34"/>
  <c r="X34"/>
  <c r="V34"/>
  <c r="Q34"/>
  <c r="AI34" s="1"/>
  <c r="P34"/>
  <c r="AH34" s="1"/>
  <c r="AG34"/>
  <c r="Z34"/>
  <c r="C34"/>
  <c r="AL33"/>
  <c r="AK33"/>
  <c r="AJ33"/>
  <c r="AF33"/>
  <c r="AE33"/>
  <c r="AD33"/>
  <c r="X33"/>
  <c r="V33"/>
  <c r="AI33"/>
  <c r="AH33"/>
  <c r="AG33"/>
  <c r="F33"/>
  <c r="H33" s="1"/>
  <c r="C33"/>
  <c r="AL32"/>
  <c r="AK32"/>
  <c r="AJ32"/>
  <c r="AF32"/>
  <c r="AE32"/>
  <c r="AD32"/>
  <c r="X32"/>
  <c r="V32"/>
  <c r="Q32"/>
  <c r="AI32" s="1"/>
  <c r="P32"/>
  <c r="AH32" s="1"/>
  <c r="O32"/>
  <c r="AG32" s="1"/>
  <c r="F32"/>
  <c r="H32" s="1"/>
  <c r="C32"/>
  <c r="AL31"/>
  <c r="AK31"/>
  <c r="AJ31"/>
  <c r="AF31"/>
  <c r="AE31"/>
  <c r="AD31"/>
  <c r="X31"/>
  <c r="V31"/>
  <c r="Q31"/>
  <c r="AI31" s="1"/>
  <c r="P31"/>
  <c r="AH31" s="1"/>
  <c r="O31"/>
  <c r="AG31" s="1"/>
  <c r="F31"/>
  <c r="C31"/>
  <c r="AL30"/>
  <c r="AK30"/>
  <c r="AJ30"/>
  <c r="AF30"/>
  <c r="AE30"/>
  <c r="AD30"/>
  <c r="X30"/>
  <c r="V30"/>
  <c r="Q30"/>
  <c r="AI30" s="1"/>
  <c r="P30"/>
  <c r="AH30" s="1"/>
  <c r="O30"/>
  <c r="AG30" s="1"/>
  <c r="F30"/>
  <c r="H30" s="1"/>
  <c r="C30"/>
  <c r="AL29"/>
  <c r="AK29"/>
  <c r="AJ29"/>
  <c r="AI29"/>
  <c r="AF29"/>
  <c r="AE29"/>
  <c r="AD29"/>
  <c r="X29"/>
  <c r="V29"/>
  <c r="P29"/>
  <c r="AH29" s="1"/>
  <c r="O29"/>
  <c r="F29"/>
  <c r="H29" s="1"/>
  <c r="C29"/>
  <c r="X28"/>
  <c r="F28"/>
  <c r="H28" s="1"/>
  <c r="C28"/>
  <c r="X27"/>
  <c r="F27"/>
  <c r="H27" s="1"/>
  <c r="C27"/>
  <c r="X26"/>
  <c r="F26"/>
  <c r="C26"/>
  <c r="Q20"/>
  <c r="P20"/>
  <c r="Q18"/>
  <c r="V13"/>
  <c r="K13"/>
  <c r="K15" s="1"/>
  <c r="E5"/>
  <c r="F13" l="1"/>
  <c r="J13"/>
  <c r="H42"/>
  <c r="AE56"/>
  <c r="Q83"/>
  <c r="R83" s="1"/>
  <c r="Z31"/>
  <c r="AA31" s="1"/>
  <c r="H31"/>
  <c r="AA45"/>
  <c r="H45"/>
  <c r="H43" s="1"/>
  <c r="AK56"/>
  <c r="AJ56"/>
  <c r="AF56"/>
  <c r="AD56"/>
  <c r="AL56"/>
  <c r="AI37"/>
  <c r="AI56" s="1"/>
  <c r="AG57"/>
  <c r="O65" s="1"/>
  <c r="AH56"/>
  <c r="AB37"/>
  <c r="Z29"/>
  <c r="AA29" s="1"/>
  <c r="AB30"/>
  <c r="AB34"/>
  <c r="AB26"/>
  <c r="AB29"/>
  <c r="AB40"/>
  <c r="AB42"/>
  <c r="AB39"/>
  <c r="Z40"/>
  <c r="AA40" s="1"/>
  <c r="AB41"/>
  <c r="Z42"/>
  <c r="AA42" s="1"/>
  <c r="Z28"/>
  <c r="I28" s="1"/>
  <c r="Z30"/>
  <c r="I30" s="1"/>
  <c r="S56"/>
  <c r="AU64"/>
  <c r="AJ61" s="1"/>
  <c r="AJ60" s="1"/>
  <c r="R62"/>
  <c r="T83"/>
  <c r="Z26"/>
  <c r="AA26" s="1"/>
  <c r="AB32"/>
  <c r="T73"/>
  <c r="Z38"/>
  <c r="AA38" s="1"/>
  <c r="AB27"/>
  <c r="Z27"/>
  <c r="AA27" s="1"/>
  <c r="AB31"/>
  <c r="Z37"/>
  <c r="AA37" s="1"/>
  <c r="Z39"/>
  <c r="I39" s="1"/>
  <c r="Z41"/>
  <c r="AA41" s="1"/>
  <c r="AD60"/>
  <c r="AN62"/>
  <c r="AP62" s="1"/>
  <c r="AD59"/>
  <c r="AA34"/>
  <c r="I34"/>
  <c r="Z33"/>
  <c r="AR64"/>
  <c r="AG61" s="1"/>
  <c r="AB28"/>
  <c r="Z32"/>
  <c r="P56"/>
  <c r="R65"/>
  <c r="AG29"/>
  <c r="AG56" s="1"/>
  <c r="AB33"/>
  <c r="AB38"/>
  <c r="J12" l="1"/>
  <c r="I31"/>
  <c r="H26"/>
  <c r="H37"/>
  <c r="I40"/>
  <c r="I27"/>
  <c r="I41"/>
  <c r="I29"/>
  <c r="R61"/>
  <c r="R63" s="1"/>
  <c r="AB44"/>
  <c r="G17" s="1"/>
  <c r="I38"/>
  <c r="AA39"/>
  <c r="Z49" s="1"/>
  <c r="Z52"/>
  <c r="F9" s="1"/>
  <c r="AA28"/>
  <c r="Z51"/>
  <c r="AJ59"/>
  <c r="AT60" s="1"/>
  <c r="AV60" s="1"/>
  <c r="AT62"/>
  <c r="AV62" s="1"/>
  <c r="AA30"/>
  <c r="O59"/>
  <c r="P62" s="1"/>
  <c r="P61" s="1"/>
  <c r="P63" s="1"/>
  <c r="AG59"/>
  <c r="AQ62"/>
  <c r="AS62" s="1"/>
  <c r="AG60"/>
  <c r="AN61"/>
  <c r="AP61" s="1"/>
  <c r="L59"/>
  <c r="AA33"/>
  <c r="I33"/>
  <c r="T61"/>
  <c r="T63" s="1"/>
  <c r="S61"/>
  <c r="S63" s="1"/>
  <c r="I32"/>
  <c r="AA32"/>
  <c r="AN60"/>
  <c r="AP60" s="1"/>
  <c r="AT61"/>
  <c r="AV61" s="1"/>
  <c r="Z46"/>
  <c r="C52" s="1"/>
  <c r="I42" l="1"/>
  <c r="H46"/>
  <c r="I43"/>
  <c r="F17"/>
  <c r="I45"/>
  <c r="Z16"/>
  <c r="G16" s="1"/>
  <c r="Q62"/>
  <c r="Q61" s="1"/>
  <c r="Q63" s="1"/>
  <c r="Z47"/>
  <c r="Z53" s="1"/>
  <c r="F10" s="1"/>
  <c r="F11" s="1"/>
  <c r="Z48"/>
  <c r="J9"/>
  <c r="O62"/>
  <c r="O61" s="1"/>
  <c r="O63" s="1"/>
  <c r="S65"/>
  <c r="F16" s="1"/>
  <c r="AQ60"/>
  <c r="AS60" s="1"/>
  <c r="I37"/>
  <c r="I26"/>
  <c r="L62"/>
  <c r="L61" s="1"/>
  <c r="L63" s="1"/>
  <c r="M62"/>
  <c r="M61" s="1"/>
  <c r="M63" s="1"/>
  <c r="N62"/>
  <c r="N61" s="1"/>
  <c r="N63" s="1"/>
  <c r="AQ61"/>
  <c r="AS61" s="1"/>
  <c r="P65" l="1"/>
  <c r="F15" s="1"/>
  <c r="I46"/>
  <c r="Z54"/>
  <c r="J10" s="1"/>
  <c r="W12" s="1"/>
  <c r="Z15"/>
  <c r="G15" s="1"/>
  <c r="M65"/>
  <c r="F14" s="1"/>
  <c r="Z14"/>
  <c r="G14" s="1"/>
  <c r="J11" l="1"/>
  <c r="O16" s="1"/>
  <c r="Q12"/>
  <c r="O12"/>
  <c r="W13"/>
  <c r="S13" s="1"/>
  <c r="S14" s="1"/>
  <c r="S12"/>
  <c r="O13" l="1"/>
  <c r="O14" s="1"/>
  <c r="S16"/>
  <c r="Q16"/>
  <c r="S15"/>
  <c r="Q13"/>
  <c r="Q14" s="1"/>
  <c r="V10" i="48"/>
  <c r="U10"/>
  <c r="T234"/>
  <c r="S234"/>
  <c r="S231"/>
  <c r="T231" s="1"/>
  <c r="U228"/>
  <c r="V228" s="1"/>
  <c r="T223"/>
  <c r="S223" s="1"/>
  <c r="U223" s="1"/>
  <c r="T220"/>
  <c r="U220" s="1"/>
  <c r="T217"/>
  <c r="L15" i="58"/>
  <c r="K15" s="1"/>
  <c r="M15" s="1"/>
  <c r="O15" i="68" l="1"/>
  <c r="Q15"/>
  <c r="S228" i="48"/>
  <c r="T228" s="1"/>
  <c r="V217"/>
  <c r="P12" i="58" l="1"/>
  <c r="E140" i="48" l="1"/>
  <c r="F53" l="1"/>
  <c r="F52"/>
  <c r="AT65"/>
  <c r="F140" l="1"/>
  <c r="AR65"/>
  <c r="AS65"/>
  <c r="S123" l="1"/>
  <c r="F42" i="58" l="1"/>
  <c r="N40"/>
  <c r="L210" i="48" l="1"/>
  <c r="M197"/>
  <c r="V9" l="1"/>
  <c r="F14" i="53"/>
  <c r="G49" i="58" l="1"/>
  <c r="N43"/>
  <c r="K40"/>
  <c r="K43" s="1"/>
  <c r="N38"/>
  <c r="K38"/>
  <c r="K44" s="1"/>
  <c r="F37"/>
  <c r="P99"/>
  <c r="P98"/>
  <c r="P97"/>
  <c r="P96"/>
  <c r="U94"/>
  <c r="W94" s="1"/>
  <c r="P95"/>
  <c r="U92"/>
  <c r="W92" s="1"/>
  <c r="P93"/>
  <c r="I92"/>
  <c r="D92"/>
  <c r="P92"/>
  <c r="P91"/>
  <c r="P90"/>
  <c r="K89"/>
  <c r="J89"/>
  <c r="P89"/>
  <c r="P88"/>
  <c r="P87"/>
  <c r="P86"/>
  <c r="P85"/>
  <c r="P84"/>
  <c r="P83"/>
  <c r="P82"/>
  <c r="P81"/>
  <c r="P80"/>
  <c r="P79"/>
  <c r="K71"/>
  <c r="K72" s="1"/>
  <c r="U67"/>
  <c r="V67" s="1"/>
  <c r="W68" s="1"/>
  <c r="W67" s="1"/>
  <c r="L65" s="1"/>
  <c r="U65"/>
  <c r="V65" s="1"/>
  <c r="F65"/>
  <c r="G65" s="1"/>
  <c r="R62"/>
  <c r="P62"/>
  <c r="I62"/>
  <c r="U63" s="1"/>
  <c r="D62"/>
  <c r="U62" s="1"/>
  <c r="J54"/>
  <c r="K54" s="1"/>
  <c r="D54"/>
  <c r="E54" s="1"/>
  <c r="J53"/>
  <c r="M53" s="1"/>
  <c r="D53"/>
  <c r="G53" s="1"/>
  <c r="M52"/>
  <c r="K52"/>
  <c r="G52"/>
  <c r="E52"/>
  <c r="M28"/>
  <c r="G28"/>
  <c r="R24"/>
  <c r="P24"/>
  <c r="R44"/>
  <c r="P44"/>
  <c r="R21"/>
  <c r="P21"/>
  <c r="L21"/>
  <c r="J21"/>
  <c r="F21"/>
  <c r="D21"/>
  <c r="R18"/>
  <c r="P18"/>
  <c r="L18"/>
  <c r="J18"/>
  <c r="F18"/>
  <c r="D18"/>
  <c r="Q15"/>
  <c r="R15" s="1"/>
  <c r="F15"/>
  <c r="D15"/>
  <c r="R12"/>
  <c r="F12"/>
  <c r="D12"/>
  <c r="R9"/>
  <c r="P9" s="1"/>
  <c r="D9"/>
  <c r="F9" s="1"/>
  <c r="R6"/>
  <c r="P6" s="1"/>
  <c r="L6"/>
  <c r="J6"/>
  <c r="D6"/>
  <c r="F6" s="1"/>
  <c r="E92" l="1"/>
  <c r="V62"/>
  <c r="F62" s="1"/>
  <c r="W62" s="1"/>
  <c r="N44"/>
  <c r="E65"/>
  <c r="W65" s="1"/>
  <c r="U68"/>
  <c r="V68" s="1"/>
  <c r="M65"/>
  <c r="N65" s="1"/>
  <c r="V63"/>
  <c r="K62" s="1"/>
  <c r="W63" s="1"/>
  <c r="K73"/>
  <c r="G128" i="51" l="1"/>
  <c r="J127"/>
  <c r="C25" i="57"/>
  <c r="C17"/>
  <c r="C19" s="1"/>
  <c r="C22" s="1"/>
  <c r="C18" l="1"/>
  <c r="C21" s="1"/>
  <c r="C26" s="1"/>
  <c r="C20"/>
  <c r="C30" l="1"/>
  <c r="C32"/>
  <c r="C31"/>
  <c r="C27"/>
  <c r="C23"/>
  <c r="C24"/>
  <c r="C35" l="1"/>
  <c r="C36"/>
  <c r="C37"/>
  <c r="A6" i="53" l="1"/>
  <c r="U11" i="48" l="1"/>
  <c r="U12" s="1"/>
  <c r="U13" s="1"/>
  <c r="U14" s="1"/>
  <c r="U15" s="1"/>
  <c r="U16" s="1"/>
  <c r="U17" s="1"/>
  <c r="U18" s="1"/>
  <c r="U19" s="1"/>
  <c r="U20" s="1"/>
  <c r="U21" s="1"/>
  <c r="U22" s="1"/>
  <c r="U23" s="1"/>
  <c r="U24" s="1"/>
  <c r="U25" s="1"/>
  <c r="U26" s="1"/>
  <c r="U27" s="1"/>
  <c r="U28" s="1"/>
  <c r="U29" s="1"/>
  <c r="U30" s="1"/>
  <c r="U31" s="1"/>
  <c r="U32" s="1"/>
  <c r="U33" s="1"/>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G163"/>
  <c r="S124"/>
  <c r="AJ270"/>
  <c r="AK270" s="1"/>
  <c r="O230" s="1"/>
  <c r="AJ271"/>
  <c r="AK271" s="1"/>
  <c r="AL272" s="1"/>
  <c r="AL271" s="1"/>
  <c r="M230" s="1"/>
  <c r="AJ272" s="1"/>
  <c r="AK272" s="1"/>
  <c r="G15"/>
  <c r="AE15" s="1"/>
  <c r="G16"/>
  <c r="AD16" s="1"/>
  <c r="G17"/>
  <c r="AD17" s="1"/>
  <c r="G18"/>
  <c r="AD18" s="1"/>
  <c r="G19"/>
  <c r="AE19" s="1"/>
  <c r="G20"/>
  <c r="AD20" s="1"/>
  <c r="G14"/>
  <c r="AD14" s="1"/>
  <c r="G24"/>
  <c r="AA24" s="1"/>
  <c r="G25"/>
  <c r="X25" s="1"/>
  <c r="G26"/>
  <c r="AA26" s="1"/>
  <c r="G27"/>
  <c r="AA27" s="1"/>
  <c r="G28"/>
  <c r="AA28" s="1"/>
  <c r="G29"/>
  <c r="AB29" s="1"/>
  <c r="G30"/>
  <c r="AA30" s="1"/>
  <c r="G31"/>
  <c r="AA31" s="1"/>
  <c r="G32"/>
  <c r="AA32" s="1"/>
  <c r="G33"/>
  <c r="AL33" s="1"/>
  <c r="G34"/>
  <c r="AA34" s="1"/>
  <c r="G35"/>
  <c r="AA35" s="1"/>
  <c r="G36"/>
  <c r="AA36" s="1"/>
  <c r="G37"/>
  <c r="AB37" s="1"/>
  <c r="G38"/>
  <c r="AA38" s="1"/>
  <c r="G39"/>
  <c r="AA39" s="1"/>
  <c r="G40"/>
  <c r="AA40" s="1"/>
  <c r="G41"/>
  <c r="Z41" s="1"/>
  <c r="G42"/>
  <c r="AA42" s="1"/>
  <c r="G43"/>
  <c r="AA43" s="1"/>
  <c r="G44"/>
  <c r="AA44" s="1"/>
  <c r="G45"/>
  <c r="H45" s="1"/>
  <c r="G46"/>
  <c r="AA46" s="1"/>
  <c r="G47"/>
  <c r="AA47" s="1"/>
  <c r="G48"/>
  <c r="AA48" s="1"/>
  <c r="G49"/>
  <c r="AL49" s="1"/>
  <c r="G50"/>
  <c r="AA50" s="1"/>
  <c r="G51"/>
  <c r="AA51" s="1"/>
  <c r="AA52"/>
  <c r="AA53"/>
  <c r="G54"/>
  <c r="AA54" s="1"/>
  <c r="G55"/>
  <c r="AA55" s="1"/>
  <c r="G56"/>
  <c r="AA56" s="1"/>
  <c r="G57"/>
  <c r="Z57" s="1"/>
  <c r="G58"/>
  <c r="AA58" s="1"/>
  <c r="G59"/>
  <c r="AA59" s="1"/>
  <c r="G60"/>
  <c r="AA60" s="1"/>
  <c r="G61"/>
  <c r="AJ61" s="1"/>
  <c r="G62"/>
  <c r="AA62" s="1"/>
  <c r="G63"/>
  <c r="AA63" s="1"/>
  <c r="G64"/>
  <c r="AA64" s="1"/>
  <c r="G65"/>
  <c r="AJ65" s="1"/>
  <c r="G66"/>
  <c r="AA66" s="1"/>
  <c r="G67"/>
  <c r="AA67" s="1"/>
  <c r="G68"/>
  <c r="AA68" s="1"/>
  <c r="G69"/>
  <c r="AJ69" s="1"/>
  <c r="G70"/>
  <c r="AA70" s="1"/>
  <c r="G71"/>
  <c r="AA71" s="1"/>
  <c r="G72"/>
  <c r="AA72" s="1"/>
  <c r="G73"/>
  <c r="AJ73" s="1"/>
  <c r="G74"/>
  <c r="AA74" s="1"/>
  <c r="G75"/>
  <c r="AA75" s="1"/>
  <c r="G76"/>
  <c r="AA76" s="1"/>
  <c r="G77"/>
  <c r="AJ77" s="1"/>
  <c r="G78"/>
  <c r="AA78" s="1"/>
  <c r="G79"/>
  <c r="AA79" s="1"/>
  <c r="G80"/>
  <c r="AA80" s="1"/>
  <c r="G81"/>
  <c r="X81" s="1"/>
  <c r="G82"/>
  <c r="AA82" s="1"/>
  <c r="G83"/>
  <c r="AA83" s="1"/>
  <c r="G84"/>
  <c r="AA84" s="1"/>
  <c r="G85"/>
  <c r="X85" s="1"/>
  <c r="G88"/>
  <c r="AA88" s="1"/>
  <c r="G89"/>
  <c r="AA89" s="1"/>
  <c r="G90"/>
  <c r="AA90" s="1"/>
  <c r="G91"/>
  <c r="AL91" s="1"/>
  <c r="G92"/>
  <c r="AA92" s="1"/>
  <c r="G93"/>
  <c r="AA93" s="1"/>
  <c r="G94"/>
  <c r="AA94" s="1"/>
  <c r="G101"/>
  <c r="X101" s="1"/>
  <c r="L101"/>
  <c r="G102"/>
  <c r="Z102" s="1"/>
  <c r="L102"/>
  <c r="G103"/>
  <c r="Y103" s="1"/>
  <c r="L103"/>
  <c r="G104"/>
  <c r="Y104" s="1"/>
  <c r="L104"/>
  <c r="G105"/>
  <c r="AL105" s="1"/>
  <c r="L105"/>
  <c r="G106"/>
  <c r="Z106" s="1"/>
  <c r="L106"/>
  <c r="G107"/>
  <c r="AC107" s="1"/>
  <c r="L107"/>
  <c r="G108"/>
  <c r="Z108" s="1"/>
  <c r="L108"/>
  <c r="G109"/>
  <c r="Z109" s="1"/>
  <c r="L109"/>
  <c r="G110"/>
  <c r="AE110" s="1"/>
  <c r="L110"/>
  <c r="G111"/>
  <c r="AK111" s="1"/>
  <c r="L111"/>
  <c r="G112"/>
  <c r="Z112" s="1"/>
  <c r="L112"/>
  <c r="G113"/>
  <c r="AB113" s="1"/>
  <c r="L113"/>
  <c r="G114"/>
  <c r="Z114" s="1"/>
  <c r="L114"/>
  <c r="G115"/>
  <c r="AF115" s="1"/>
  <c r="L115"/>
  <c r="G116"/>
  <c r="Z116" s="1"/>
  <c r="L116"/>
  <c r="G117"/>
  <c r="AJ117" s="1"/>
  <c r="L117"/>
  <c r="G118"/>
  <c r="Z118" s="1"/>
  <c r="L118"/>
  <c r="G119"/>
  <c r="AD119" s="1"/>
  <c r="L119"/>
  <c r="G120"/>
  <c r="AA120" s="1"/>
  <c r="G127"/>
  <c r="H127" s="1"/>
  <c r="L127"/>
  <c r="G128"/>
  <c r="Z128" s="1"/>
  <c r="L128"/>
  <c r="G129"/>
  <c r="Z129" s="1"/>
  <c r="L129"/>
  <c r="G130"/>
  <c r="Y130" s="1"/>
  <c r="L130"/>
  <c r="G131"/>
  <c r="AE131" s="1"/>
  <c r="L131"/>
  <c r="G132"/>
  <c r="Z132" s="1"/>
  <c r="L132"/>
  <c r="G133"/>
  <c r="AC133" s="1"/>
  <c r="L133"/>
  <c r="G134"/>
  <c r="AC134" s="1"/>
  <c r="L134"/>
  <c r="G135"/>
  <c r="H135" s="1"/>
  <c r="L135"/>
  <c r="G136"/>
  <c r="Z136" s="1"/>
  <c r="L136"/>
  <c r="G137"/>
  <c r="Z137" s="1"/>
  <c r="L137"/>
  <c r="G138"/>
  <c r="Y138" s="1"/>
  <c r="L138"/>
  <c r="G139"/>
  <c r="AA139" s="1"/>
  <c r="Z25"/>
  <c r="Z52"/>
  <c r="Z53"/>
  <c r="Z65"/>
  <c r="AE52"/>
  <c r="AE53"/>
  <c r="P135"/>
  <c r="F177"/>
  <c r="H52"/>
  <c r="H53"/>
  <c r="H172"/>
  <c r="E171" s="1"/>
  <c r="AG52"/>
  <c r="AG53"/>
  <c r="R135"/>
  <c r="AH52"/>
  <c r="AH53"/>
  <c r="S135"/>
  <c r="AF52"/>
  <c r="AF53"/>
  <c r="AF60"/>
  <c r="Q135"/>
  <c r="AD52"/>
  <c r="AD53"/>
  <c r="C4" i="53"/>
  <c r="E4"/>
  <c r="G4"/>
  <c r="I4"/>
  <c r="N4"/>
  <c r="Q4"/>
  <c r="E12"/>
  <c r="F12"/>
  <c r="E13"/>
  <c r="F13"/>
  <c r="E23"/>
  <c r="G23" s="1"/>
  <c r="E24"/>
  <c r="G24" s="1"/>
  <c r="E25"/>
  <c r="K25" s="1"/>
  <c r="E26"/>
  <c r="G26" s="1"/>
  <c r="E27"/>
  <c r="K27" s="1"/>
  <c r="E28"/>
  <c r="G28" s="1"/>
  <c r="E29"/>
  <c r="G29" s="1"/>
  <c r="E30"/>
  <c r="K30" s="1"/>
  <c r="E31"/>
  <c r="G31" s="1"/>
  <c r="E32"/>
  <c r="G32" s="1"/>
  <c r="E33"/>
  <c r="K33" s="1"/>
  <c r="E34"/>
  <c r="G34" s="1"/>
  <c r="E35"/>
  <c r="G35" s="1"/>
  <c r="E36"/>
  <c r="K36" s="1"/>
  <c r="E37"/>
  <c r="G37" s="1"/>
  <c r="E38"/>
  <c r="G38" s="1"/>
  <c r="E39"/>
  <c r="G39" s="1"/>
  <c r="E40"/>
  <c r="G40" s="1"/>
  <c r="E41"/>
  <c r="K40" s="1"/>
  <c r="E42"/>
  <c r="K41" s="1"/>
  <c r="E43"/>
  <c r="G43" s="1"/>
  <c r="E44"/>
  <c r="G44" s="1"/>
  <c r="E45"/>
  <c r="G45" s="1"/>
  <c r="E46"/>
  <c r="G46" s="1"/>
  <c r="E47"/>
  <c r="G47" s="1"/>
  <c r="E48"/>
  <c r="G48" s="1"/>
  <c r="O48" s="1"/>
  <c r="E49"/>
  <c r="G49" s="1"/>
  <c r="E50"/>
  <c r="G50" s="1"/>
  <c r="E51"/>
  <c r="K51" s="1"/>
  <c r="E52"/>
  <c r="G52" s="1"/>
  <c r="E53"/>
  <c r="G53" s="1"/>
  <c r="E54"/>
  <c r="K54" s="1"/>
  <c r="E55"/>
  <c r="G55" s="1"/>
  <c r="E56"/>
  <c r="G56" s="1"/>
  <c r="E57"/>
  <c r="G57" s="1"/>
  <c r="E58"/>
  <c r="G58" s="1"/>
  <c r="E59"/>
  <c r="K59" s="1"/>
  <c r="E60"/>
  <c r="G60" s="1"/>
  <c r="E61"/>
  <c r="K61" s="1"/>
  <c r="E62"/>
  <c r="K62" s="1"/>
  <c r="E63"/>
  <c r="G63" s="1"/>
  <c r="E64"/>
  <c r="K64" s="1"/>
  <c r="E65"/>
  <c r="G65" s="1"/>
  <c r="E66"/>
  <c r="G66" s="1"/>
  <c r="E67"/>
  <c r="G67" s="1"/>
  <c r="E68"/>
  <c r="G68" s="1"/>
  <c r="E69"/>
  <c r="G69" s="1"/>
  <c r="E70"/>
  <c r="G70" s="1"/>
  <c r="E71"/>
  <c r="G71" s="1"/>
  <c r="E72"/>
  <c r="O72"/>
  <c r="E73"/>
  <c r="G73" s="1"/>
  <c r="E74"/>
  <c r="K74" s="1"/>
  <c r="E75"/>
  <c r="G75" s="1"/>
  <c r="E76"/>
  <c r="G76" s="1"/>
  <c r="E77"/>
  <c r="G77" s="1"/>
  <c r="E78"/>
  <c r="K78" s="1"/>
  <c r="E79"/>
  <c r="G79" s="1"/>
  <c r="E80"/>
  <c r="G80" s="1"/>
  <c r="E81"/>
  <c r="L81" s="1"/>
  <c r="G81"/>
  <c r="O81" s="1"/>
  <c r="E82"/>
  <c r="L82" s="1"/>
  <c r="G82"/>
  <c r="O82" s="1"/>
  <c r="E83"/>
  <c r="K83" s="1"/>
  <c r="G83"/>
  <c r="O83" s="1"/>
  <c r="E84"/>
  <c r="L84" s="1"/>
  <c r="G84"/>
  <c r="O84" s="1"/>
  <c r="AQ26" i="48"/>
  <c r="AR26" s="1"/>
  <c r="AJ46"/>
  <c r="X52"/>
  <c r="Y52"/>
  <c r="AB52"/>
  <c r="AC52"/>
  <c r="AN52"/>
  <c r="AK52" s="1"/>
  <c r="AM52"/>
  <c r="AJ52" s="1"/>
  <c r="AO52"/>
  <c r="AO53" s="1"/>
  <c r="AL53" s="1"/>
  <c r="X53"/>
  <c r="Y53"/>
  <c r="AB53"/>
  <c r="AC53"/>
  <c r="AB54"/>
  <c r="AK66"/>
  <c r="T86"/>
  <c r="T87" s="1"/>
  <c r="T88" s="1"/>
  <c r="N98"/>
  <c r="N123"/>
  <c r="N124"/>
  <c r="AJ132"/>
  <c r="H143"/>
  <c r="G147"/>
  <c r="G148"/>
  <c r="I148" s="1"/>
  <c r="G149"/>
  <c r="G153"/>
  <c r="K153"/>
  <c r="K154"/>
  <c r="C171"/>
  <c r="V186"/>
  <c r="AM187"/>
  <c r="AN187"/>
  <c r="E188"/>
  <c r="P188"/>
  <c r="AP195"/>
  <c r="F201" s="1"/>
  <c r="G198"/>
  <c r="G199"/>
  <c r="E207"/>
  <c r="V239"/>
  <c r="T240"/>
  <c r="U240" s="1"/>
  <c r="V240" s="1"/>
  <c r="K218"/>
  <c r="L218" s="1"/>
  <c r="O218"/>
  <c r="P218" s="1"/>
  <c r="M223"/>
  <c r="O223"/>
  <c r="M226"/>
  <c r="O226"/>
  <c r="J236"/>
  <c r="AJ54"/>
  <c r="L67" i="53"/>
  <c r="L63"/>
  <c r="L59"/>
  <c r="L55"/>
  <c r="L48"/>
  <c r="Y128" i="48" l="1"/>
  <c r="L76" i="53"/>
  <c r="L30"/>
  <c r="G178" i="48"/>
  <c r="L23" i="53"/>
  <c r="L46"/>
  <c r="L33"/>
  <c r="L60"/>
  <c r="K84"/>
  <c r="L75"/>
  <c r="L36"/>
  <c r="L29"/>
  <c r="G41"/>
  <c r="L53"/>
  <c r="U144" i="48"/>
  <c r="G171"/>
  <c r="L66" i="53"/>
  <c r="Y131" i="48"/>
  <c r="Z91"/>
  <c r="Z45"/>
  <c r="AE90"/>
  <c r="AG18"/>
  <c r="Y72"/>
  <c r="X90"/>
  <c r="AL48"/>
  <c r="Z76"/>
  <c r="AK133"/>
  <c r="Y64"/>
  <c r="AJ135"/>
  <c r="AC94"/>
  <c r="AL36"/>
  <c r="AF139"/>
  <c r="H84"/>
  <c r="Z77"/>
  <c r="Z33"/>
  <c r="AC139"/>
  <c r="AC32"/>
  <c r="AD90"/>
  <c r="AF40"/>
  <c r="Z133"/>
  <c r="X129"/>
  <c r="Y56"/>
  <c r="Y80"/>
  <c r="AK44"/>
  <c r="AL24"/>
  <c r="AH131"/>
  <c r="AG68"/>
  <c r="H40"/>
  <c r="Z85"/>
  <c r="Z44"/>
  <c r="X127"/>
  <c r="AB137"/>
  <c r="AL64"/>
  <c r="AL135"/>
  <c r="AL131"/>
  <c r="AC127"/>
  <c r="Y90"/>
  <c r="AJ80"/>
  <c r="AK56"/>
  <c r="AJ32"/>
  <c r="AD135"/>
  <c r="AD24"/>
  <c r="AG76"/>
  <c r="AG44"/>
  <c r="Z139"/>
  <c r="Z36"/>
  <c r="AB131"/>
  <c r="X137"/>
  <c r="Y60"/>
  <c r="Y68"/>
  <c r="Y76"/>
  <c r="AL137"/>
  <c r="AK90"/>
  <c r="AK80"/>
  <c r="AK72"/>
  <c r="X60"/>
  <c r="AJ40"/>
  <c r="AB36"/>
  <c r="AL28"/>
  <c r="Y24"/>
  <c r="AD64"/>
  <c r="AD48"/>
  <c r="AF131"/>
  <c r="AF18"/>
  <c r="AH68"/>
  <c r="AH18"/>
  <c r="AG129"/>
  <c r="H137"/>
  <c r="AE56"/>
  <c r="AE40"/>
  <c r="Z94"/>
  <c r="Z81"/>
  <c r="Z69"/>
  <c r="Z60"/>
  <c r="Z49"/>
  <c r="Z37"/>
  <c r="Z28"/>
  <c r="AK131"/>
  <c r="AL56"/>
  <c r="AL72"/>
  <c r="X68"/>
  <c r="AL44"/>
  <c r="AC40"/>
  <c r="AC28"/>
  <c r="X18"/>
  <c r="AJ18" s="1"/>
  <c r="AD56"/>
  <c r="AF68"/>
  <c r="AF48"/>
  <c r="AG137"/>
  <c r="H131"/>
  <c r="AE135"/>
  <c r="Z68"/>
  <c r="AC18"/>
  <c r="AB129"/>
  <c r="X135"/>
  <c r="AL60"/>
  <c r="AL68"/>
  <c r="AL76"/>
  <c r="AL133"/>
  <c r="Y129"/>
  <c r="AB94"/>
  <c r="X76"/>
  <c r="AK64"/>
  <c r="AC48"/>
  <c r="Y44"/>
  <c r="AK36"/>
  <c r="AB24"/>
  <c r="AD80"/>
  <c r="AF24"/>
  <c r="AH76"/>
  <c r="AH44"/>
  <c r="AG131"/>
  <c r="H76"/>
  <c r="H32"/>
  <c r="AE64"/>
  <c r="AE48"/>
  <c r="Z101"/>
  <c r="Z84"/>
  <c r="Z73"/>
  <c r="Z61"/>
  <c r="Z29"/>
  <c r="L43" i="53"/>
  <c r="L73"/>
  <c r="L50"/>
  <c r="L70"/>
  <c r="K48"/>
  <c r="L39"/>
  <c r="G140" i="48"/>
  <c r="I147" s="1"/>
  <c r="L35" i="53"/>
  <c r="L45"/>
  <c r="K75"/>
  <c r="K35"/>
  <c r="K32"/>
  <c r="L27"/>
  <c r="L49"/>
  <c r="L56"/>
  <c r="L64"/>
  <c r="L78"/>
  <c r="G27"/>
  <c r="O27" s="1"/>
  <c r="G25"/>
  <c r="L40"/>
  <c r="M83"/>
  <c r="K82"/>
  <c r="L25"/>
  <c r="L32"/>
  <c r="L38"/>
  <c r="L41"/>
  <c r="L68"/>
  <c r="G36"/>
  <c r="O36" s="1"/>
  <c r="L28"/>
  <c r="L54"/>
  <c r="G51"/>
  <c r="K47"/>
  <c r="L31"/>
  <c r="L44"/>
  <c r="L57"/>
  <c r="L26"/>
  <c r="L34"/>
  <c r="L47"/>
  <c r="L51"/>
  <c r="L61"/>
  <c r="K56"/>
  <c r="K50"/>
  <c r="K46"/>
  <c r="G30"/>
  <c r="O30" s="1"/>
  <c r="O45"/>
  <c r="M45"/>
  <c r="K45"/>
  <c r="L58"/>
  <c r="L80"/>
  <c r="M81"/>
  <c r="K66"/>
  <c r="K63"/>
  <c r="K60"/>
  <c r="G54"/>
  <c r="K44"/>
  <c r="K38"/>
  <c r="K28"/>
  <c r="L71"/>
  <c r="L77"/>
  <c r="K77"/>
  <c r="K53"/>
  <c r="K43"/>
  <c r="AK79" i="48"/>
  <c r="AC50"/>
  <c r="AF110"/>
  <c r="AG17"/>
  <c r="AL27"/>
  <c r="AC102"/>
  <c r="X79"/>
  <c r="AJ35"/>
  <c r="AE104"/>
  <c r="AA116"/>
  <c r="AJ51"/>
  <c r="AJ137"/>
  <c r="AJ133"/>
  <c r="AL129"/>
  <c r="Y127"/>
  <c r="AC110"/>
  <c r="AL94"/>
  <c r="AJ90"/>
  <c r="X80"/>
  <c r="AB72"/>
  <c r="AB60"/>
  <c r="AB48"/>
  <c r="AB44"/>
  <c r="X40"/>
  <c r="Y36"/>
  <c r="X32"/>
  <c r="AB28"/>
  <c r="AK24"/>
  <c r="AD127"/>
  <c r="AD71"/>
  <c r="AD32"/>
  <c r="AF133"/>
  <c r="AF76"/>
  <c r="AF32"/>
  <c r="AH137"/>
  <c r="AH94"/>
  <c r="AH28"/>
  <c r="AG134"/>
  <c r="AG94"/>
  <c r="AG28"/>
  <c r="H139"/>
  <c r="H94"/>
  <c r="H60"/>
  <c r="H47"/>
  <c r="H24"/>
  <c r="AE127"/>
  <c r="AE72"/>
  <c r="AE24"/>
  <c r="Z18"/>
  <c r="AC63"/>
  <c r="X112"/>
  <c r="AC118"/>
  <c r="AC89"/>
  <c r="AD133"/>
  <c r="AD72"/>
  <c r="AD55"/>
  <c r="AD40"/>
  <c r="AF90"/>
  <c r="AF39"/>
  <c r="AH139"/>
  <c r="AH129"/>
  <c r="AH60"/>
  <c r="AH36"/>
  <c r="AG135"/>
  <c r="AG116"/>
  <c r="AG60"/>
  <c r="AG36"/>
  <c r="H129"/>
  <c r="H68"/>
  <c r="H48"/>
  <c r="H31"/>
  <c r="AE133"/>
  <c r="AE80"/>
  <c r="AE32"/>
  <c r="Z131"/>
  <c r="Z90"/>
  <c r="Z80"/>
  <c r="Z72"/>
  <c r="Z64"/>
  <c r="Z56"/>
  <c r="Z48"/>
  <c r="Z40"/>
  <c r="Z32"/>
  <c r="Z24"/>
  <c r="AA17"/>
  <c r="AL17" s="1"/>
  <c r="AC59"/>
  <c r="AC75"/>
  <c r="AK108"/>
  <c r="Y120"/>
  <c r="AB120"/>
  <c r="AC112"/>
  <c r="AC104"/>
  <c r="Y93"/>
  <c r="Y83"/>
  <c r="AK67"/>
  <c r="Y47"/>
  <c r="AB39"/>
  <c r="X17"/>
  <c r="AJ17" s="1"/>
  <c r="AD104"/>
  <c r="AF118"/>
  <c r="AF89"/>
  <c r="AH108"/>
  <c r="AH75"/>
  <c r="AH59"/>
  <c r="AG83"/>
  <c r="AG67"/>
  <c r="H108"/>
  <c r="AE112"/>
  <c r="AE79"/>
  <c r="AE63"/>
  <c r="Z104"/>
  <c r="Z92"/>
  <c r="Z88"/>
  <c r="Z82"/>
  <c r="Z78"/>
  <c r="Z74"/>
  <c r="Z70"/>
  <c r="Z66"/>
  <c r="Z62"/>
  <c r="Z58"/>
  <c r="Z54"/>
  <c r="Z50"/>
  <c r="Z46"/>
  <c r="Z42"/>
  <c r="Z38"/>
  <c r="Z34"/>
  <c r="Z30"/>
  <c r="Z26"/>
  <c r="AA102"/>
  <c r="AC55"/>
  <c r="AC71"/>
  <c r="AB106"/>
  <c r="AK116"/>
  <c r="AC114"/>
  <c r="AC106"/>
  <c r="AK93"/>
  <c r="AK83"/>
  <c r="AK75"/>
  <c r="AB63"/>
  <c r="AB55"/>
  <c r="AK47"/>
  <c r="X43"/>
  <c r="AL39"/>
  <c r="AB31"/>
  <c r="AD112"/>
  <c r="AD79"/>
  <c r="AD63"/>
  <c r="AF47"/>
  <c r="AF31"/>
  <c r="AH116"/>
  <c r="AH17"/>
  <c r="H116"/>
  <c r="H39"/>
  <c r="AE120"/>
  <c r="Z93"/>
  <c r="Z89"/>
  <c r="Z83"/>
  <c r="Z79"/>
  <c r="Z75"/>
  <c r="Z71"/>
  <c r="Z67"/>
  <c r="Z63"/>
  <c r="Z59"/>
  <c r="Z55"/>
  <c r="Z51"/>
  <c r="Z47"/>
  <c r="Z43"/>
  <c r="Z39"/>
  <c r="Z35"/>
  <c r="Z31"/>
  <c r="Z27"/>
  <c r="AC67"/>
  <c r="X104"/>
  <c r="AB114"/>
  <c r="AC116"/>
  <c r="AC108"/>
  <c r="X71"/>
  <c r="AK51"/>
  <c r="AJ43"/>
  <c r="X35"/>
  <c r="AL31"/>
  <c r="AB27"/>
  <c r="AD120"/>
  <c r="AF102"/>
  <c r="AH83"/>
  <c r="AH67"/>
  <c r="AG108"/>
  <c r="AG75"/>
  <c r="AG59"/>
  <c r="AE71"/>
  <c r="AE55"/>
  <c r="AJ59"/>
  <c r="AJ75"/>
  <c r="AB108"/>
  <c r="AK118"/>
  <c r="AJ118"/>
  <c r="AJ116"/>
  <c r="AJ112"/>
  <c r="AJ110"/>
  <c r="AJ106"/>
  <c r="AJ102"/>
  <c r="X59"/>
  <c r="AB47"/>
  <c r="AK43"/>
  <c r="AC39"/>
  <c r="AC14"/>
  <c r="AJ55"/>
  <c r="AJ63"/>
  <c r="AJ71"/>
  <c r="Y79"/>
  <c r="X106"/>
  <c r="AK110"/>
  <c r="AB116"/>
  <c r="AL120"/>
  <c r="AL93"/>
  <c r="X89"/>
  <c r="AL83"/>
  <c r="AB79"/>
  <c r="AB71"/>
  <c r="AK55"/>
  <c r="AL47"/>
  <c r="Y43"/>
  <c r="AK35"/>
  <c r="AC31"/>
  <c r="AC27"/>
  <c r="AD106"/>
  <c r="AD35"/>
  <c r="AF71"/>
  <c r="AF55"/>
  <c r="AH118"/>
  <c r="AH110"/>
  <c r="AH89"/>
  <c r="AH47"/>
  <c r="AH39"/>
  <c r="AG118"/>
  <c r="AG110"/>
  <c r="AG89"/>
  <c r="AG47"/>
  <c r="AG31"/>
  <c r="H118"/>
  <c r="H89"/>
  <c r="H63"/>
  <c r="AE114"/>
  <c r="AA118"/>
  <c r="AA18"/>
  <c r="AL18" s="1"/>
  <c r="AL55"/>
  <c r="AL59"/>
  <c r="AL63"/>
  <c r="AL67"/>
  <c r="AL71"/>
  <c r="AL75"/>
  <c r="AC79"/>
  <c r="AB102"/>
  <c r="AK104"/>
  <c r="X108"/>
  <c r="AB110"/>
  <c r="AK112"/>
  <c r="X116"/>
  <c r="AB118"/>
  <c r="AJ120"/>
  <c r="AK127"/>
  <c r="X131"/>
  <c r="AB133"/>
  <c r="AK135"/>
  <c r="Y139"/>
  <c r="Y51"/>
  <c r="AC56"/>
  <c r="AC60"/>
  <c r="AC64"/>
  <c r="AC68"/>
  <c r="AC72"/>
  <c r="AC76"/>
  <c r="X139"/>
  <c r="Y137"/>
  <c r="Y135"/>
  <c r="Y133"/>
  <c r="AC131"/>
  <c r="AC129"/>
  <c r="AJ127"/>
  <c r="AL118"/>
  <c r="AL116"/>
  <c r="AL114"/>
  <c r="AL112"/>
  <c r="AL110"/>
  <c r="AL108"/>
  <c r="AL106"/>
  <c r="AL104"/>
  <c r="AL102"/>
  <c r="AJ94"/>
  <c r="X94"/>
  <c r="AC93"/>
  <c r="AL90"/>
  <c r="AB90"/>
  <c r="AK89"/>
  <c r="Y89"/>
  <c r="AB84"/>
  <c r="AC83"/>
  <c r="AL80"/>
  <c r="AB80"/>
  <c r="AJ79"/>
  <c r="AB76"/>
  <c r="X75"/>
  <c r="AK71"/>
  <c r="AB68"/>
  <c r="X67"/>
  <c r="X64"/>
  <c r="AK60"/>
  <c r="AB59"/>
  <c r="X56"/>
  <c r="X51"/>
  <c r="AJ48"/>
  <c r="X48"/>
  <c r="AC47"/>
  <c r="AC44"/>
  <c r="AL43"/>
  <c r="AB43"/>
  <c r="AK40"/>
  <c r="Y40"/>
  <c r="AJ39"/>
  <c r="X39"/>
  <c r="AC36"/>
  <c r="AL35"/>
  <c r="AB35"/>
  <c r="AK32"/>
  <c r="Y32"/>
  <c r="AJ31"/>
  <c r="X31"/>
  <c r="AJ28"/>
  <c r="X28"/>
  <c r="AJ27"/>
  <c r="X27"/>
  <c r="AC24"/>
  <c r="Y18"/>
  <c r="AK18" s="1"/>
  <c r="X14"/>
  <c r="AJ14" s="1"/>
  <c r="AD137"/>
  <c r="AD129"/>
  <c r="AD116"/>
  <c r="AD108"/>
  <c r="AD94"/>
  <c r="AD83"/>
  <c r="AD75"/>
  <c r="AD67"/>
  <c r="AD59"/>
  <c r="AD44"/>
  <c r="AD36"/>
  <c r="AD28"/>
  <c r="AB17"/>
  <c r="AF135"/>
  <c r="AF127"/>
  <c r="AF114"/>
  <c r="AF106"/>
  <c r="AF93"/>
  <c r="AF80"/>
  <c r="AF72"/>
  <c r="AF64"/>
  <c r="AF56"/>
  <c r="AF51"/>
  <c r="AF43"/>
  <c r="AF35"/>
  <c r="AF27"/>
  <c r="AF14"/>
  <c r="AH133"/>
  <c r="AH120"/>
  <c r="AH112"/>
  <c r="AH104"/>
  <c r="AH90"/>
  <c r="AH79"/>
  <c r="AH71"/>
  <c r="AH63"/>
  <c r="AH55"/>
  <c r="AH48"/>
  <c r="AH40"/>
  <c r="AH32"/>
  <c r="AH24"/>
  <c r="AG139"/>
  <c r="AG133"/>
  <c r="AG120"/>
  <c r="AG112"/>
  <c r="AG104"/>
  <c r="AG90"/>
  <c r="AG79"/>
  <c r="AG71"/>
  <c r="AG63"/>
  <c r="AG55"/>
  <c r="AG48"/>
  <c r="AG40"/>
  <c r="AG32"/>
  <c r="AG24"/>
  <c r="H133"/>
  <c r="H120"/>
  <c r="H112"/>
  <c r="H104"/>
  <c r="H90"/>
  <c r="H80"/>
  <c r="H72"/>
  <c r="H64"/>
  <c r="H56"/>
  <c r="H51"/>
  <c r="H43"/>
  <c r="H35"/>
  <c r="H27"/>
  <c r="AE137"/>
  <c r="AE129"/>
  <c r="AE116"/>
  <c r="AE108"/>
  <c r="AE94"/>
  <c r="AE83"/>
  <c r="AE75"/>
  <c r="AE67"/>
  <c r="AE59"/>
  <c r="AE44"/>
  <c r="AE36"/>
  <c r="AE28"/>
  <c r="AE17"/>
  <c r="Z135"/>
  <c r="Z127"/>
  <c r="Z14"/>
  <c r="AA137"/>
  <c r="AA135"/>
  <c r="AA133"/>
  <c r="AA131"/>
  <c r="AA114"/>
  <c r="AJ67"/>
  <c r="AK102"/>
  <c r="X114"/>
  <c r="AL51"/>
  <c r="AK120"/>
  <c r="AJ114"/>
  <c r="AJ108"/>
  <c r="AJ104"/>
  <c r="AB93"/>
  <c r="AJ89"/>
  <c r="AB83"/>
  <c r="AK63"/>
  <c r="Y35"/>
  <c r="AD114"/>
  <c r="AD93"/>
  <c r="AD51"/>
  <c r="AD43"/>
  <c r="AD27"/>
  <c r="AB14"/>
  <c r="AF120"/>
  <c r="AF112"/>
  <c r="AF104"/>
  <c r="AF79"/>
  <c r="AF63"/>
  <c r="AH102"/>
  <c r="AH31"/>
  <c r="AG102"/>
  <c r="AG39"/>
  <c r="H110"/>
  <c r="H102"/>
  <c r="H79"/>
  <c r="H71"/>
  <c r="H55"/>
  <c r="AE106"/>
  <c r="AE93"/>
  <c r="AE51"/>
  <c r="AE43"/>
  <c r="AE35"/>
  <c r="AE27"/>
  <c r="AE14"/>
  <c r="Z110"/>
  <c r="AA110"/>
  <c r="AA14"/>
  <c r="AL14" s="1"/>
  <c r="Y17"/>
  <c r="AK17" s="1"/>
  <c r="Y55"/>
  <c r="Y59"/>
  <c r="Y63"/>
  <c r="Y67"/>
  <c r="Y71"/>
  <c r="Y75"/>
  <c r="X102"/>
  <c r="AB104"/>
  <c r="AK106"/>
  <c r="X110"/>
  <c r="AB112"/>
  <c r="AK114"/>
  <c r="X118"/>
  <c r="AC120"/>
  <c r="AB127"/>
  <c r="AK129"/>
  <c r="X133"/>
  <c r="AB135"/>
  <c r="AK137"/>
  <c r="AC51"/>
  <c r="AJ56"/>
  <c r="AJ60"/>
  <c r="AJ64"/>
  <c r="AJ68"/>
  <c r="AJ72"/>
  <c r="AJ76"/>
  <c r="AB139"/>
  <c r="AC137"/>
  <c r="AC135"/>
  <c r="AJ131"/>
  <c r="AJ129"/>
  <c r="AL127"/>
  <c r="X120"/>
  <c r="Y118"/>
  <c r="Y116"/>
  <c r="Y114"/>
  <c r="Y112"/>
  <c r="Y110"/>
  <c r="Y108"/>
  <c r="Y106"/>
  <c r="Y102"/>
  <c r="AK94"/>
  <c r="Y94"/>
  <c r="AJ93"/>
  <c r="X93"/>
  <c r="AC90"/>
  <c r="AL89"/>
  <c r="AB89"/>
  <c r="AL84"/>
  <c r="AJ83"/>
  <c r="X83"/>
  <c r="AC80"/>
  <c r="AL79"/>
  <c r="AK76"/>
  <c r="AB75"/>
  <c r="X72"/>
  <c r="AK68"/>
  <c r="AB67"/>
  <c r="AB64"/>
  <c r="X63"/>
  <c r="AK59"/>
  <c r="AB56"/>
  <c r="X55"/>
  <c r="AB51"/>
  <c r="AK48"/>
  <c r="Y48"/>
  <c r="AJ47"/>
  <c r="X47"/>
  <c r="AJ44"/>
  <c r="X44"/>
  <c r="AC43"/>
  <c r="AL40"/>
  <c r="AB40"/>
  <c r="AK39"/>
  <c r="Y39"/>
  <c r="AJ36"/>
  <c r="X36"/>
  <c r="AC35"/>
  <c r="AL32"/>
  <c r="AB32"/>
  <c r="AK31"/>
  <c r="Y31"/>
  <c r="AK28"/>
  <c r="Y28"/>
  <c r="AK27"/>
  <c r="Y27"/>
  <c r="AJ24"/>
  <c r="X24"/>
  <c r="Y14"/>
  <c r="AK14" s="1"/>
  <c r="AD139"/>
  <c r="AD131"/>
  <c r="AD118"/>
  <c r="AD110"/>
  <c r="AD102"/>
  <c r="AD89"/>
  <c r="AD76"/>
  <c r="AD68"/>
  <c r="AD60"/>
  <c r="AD47"/>
  <c r="AD39"/>
  <c r="AD31"/>
  <c r="AB18"/>
  <c r="AF137"/>
  <c r="AF129"/>
  <c r="AF116"/>
  <c r="AF108"/>
  <c r="AF94"/>
  <c r="AF83"/>
  <c r="AF75"/>
  <c r="AF67"/>
  <c r="AF59"/>
  <c r="AF44"/>
  <c r="AF36"/>
  <c r="AF28"/>
  <c r="AF17"/>
  <c r="AH135"/>
  <c r="AH127"/>
  <c r="AH114"/>
  <c r="AH106"/>
  <c r="AH93"/>
  <c r="AH80"/>
  <c r="AH72"/>
  <c r="AH64"/>
  <c r="AH56"/>
  <c r="AH51"/>
  <c r="AH43"/>
  <c r="AH35"/>
  <c r="AH27"/>
  <c r="AH14"/>
  <c r="AG127"/>
  <c r="AG114"/>
  <c r="AG106"/>
  <c r="AG93"/>
  <c r="AG80"/>
  <c r="AG72"/>
  <c r="AG64"/>
  <c r="AG56"/>
  <c r="AG51"/>
  <c r="AG43"/>
  <c r="AG35"/>
  <c r="AG27"/>
  <c r="AG14"/>
  <c r="H114"/>
  <c r="H106"/>
  <c r="H93"/>
  <c r="H83"/>
  <c r="H75"/>
  <c r="H67"/>
  <c r="H59"/>
  <c r="H44"/>
  <c r="H36"/>
  <c r="H28"/>
  <c r="AE139"/>
  <c r="AE118"/>
  <c r="AE102"/>
  <c r="AE89"/>
  <c r="AE76"/>
  <c r="AE68"/>
  <c r="AE60"/>
  <c r="AE47"/>
  <c r="AE39"/>
  <c r="AE31"/>
  <c r="AE18"/>
  <c r="Z17"/>
  <c r="AC84"/>
  <c r="AG84"/>
  <c r="AJ84"/>
  <c r="X84"/>
  <c r="AD84"/>
  <c r="AF84"/>
  <c r="AH84"/>
  <c r="AE84"/>
  <c r="AK84"/>
  <c r="Y84"/>
  <c r="AK136"/>
  <c r="X34"/>
  <c r="Y26"/>
  <c r="Y20"/>
  <c r="AK20" s="1"/>
  <c r="Y16"/>
  <c r="AK16" s="1"/>
  <c r="AD134"/>
  <c r="AG130"/>
  <c r="H82"/>
  <c r="AB88"/>
  <c r="AL70"/>
  <c r="AL26"/>
  <c r="AA129"/>
  <c r="AA127"/>
  <c r="AL136"/>
  <c r="AB128"/>
  <c r="AK82"/>
  <c r="AJ42"/>
  <c r="AD130"/>
  <c r="AD26"/>
  <c r="AB16"/>
  <c r="H78"/>
  <c r="H34"/>
  <c r="AA128"/>
  <c r="Y70"/>
  <c r="AC132"/>
  <c r="X38"/>
  <c r="AH138"/>
  <c r="H30"/>
  <c r="Y62"/>
  <c r="AL138"/>
  <c r="AJ134"/>
  <c r="AB130"/>
  <c r="AJ92"/>
  <c r="AC34"/>
  <c r="Y30"/>
  <c r="AF138"/>
  <c r="AH134"/>
  <c r="H128"/>
  <c r="H66"/>
  <c r="H54"/>
  <c r="H50"/>
  <c r="AK88"/>
  <c r="AL62"/>
  <c r="AL78"/>
  <c r="AK134"/>
  <c r="AC130"/>
  <c r="AB82"/>
  <c r="AK70"/>
  <c r="X50"/>
  <c r="AC46"/>
  <c r="X16"/>
  <c r="AJ16" s="1"/>
  <c r="AH20"/>
  <c r="H62"/>
  <c r="H46"/>
  <c r="AE130"/>
  <c r="AE26"/>
  <c r="AJ109"/>
  <c r="AQ27"/>
  <c r="AQ28" s="1"/>
  <c r="AC20"/>
  <c r="Y58"/>
  <c r="Y66"/>
  <c r="Y74"/>
  <c r="AB138"/>
  <c r="Y136"/>
  <c r="X134"/>
  <c r="AL130"/>
  <c r="AK128"/>
  <c r="Y119"/>
  <c r="X92"/>
  <c r="Y88"/>
  <c r="AL82"/>
  <c r="AK78"/>
  <c r="AK62"/>
  <c r="AJ50"/>
  <c r="X42"/>
  <c r="AC38"/>
  <c r="AJ34"/>
  <c r="AB26"/>
  <c r="AF134"/>
  <c r="AF20"/>
  <c r="AH130"/>
  <c r="AH16"/>
  <c r="H136"/>
  <c r="H92"/>
  <c r="H74"/>
  <c r="H42"/>
  <c r="H26"/>
  <c r="AE138"/>
  <c r="AE20"/>
  <c r="Z134"/>
  <c r="AM53"/>
  <c r="AJ53" s="1"/>
  <c r="AA130"/>
  <c r="AC15"/>
  <c r="AA20"/>
  <c r="AL20" s="1"/>
  <c r="AC54"/>
  <c r="AL66"/>
  <c r="AL74"/>
  <c r="AC138"/>
  <c r="AB136"/>
  <c r="Y134"/>
  <c r="X132"/>
  <c r="AL128"/>
  <c r="AC92"/>
  <c r="AC88"/>
  <c r="Y82"/>
  <c r="AK74"/>
  <c r="AK58"/>
  <c r="X54"/>
  <c r="X46"/>
  <c r="AC42"/>
  <c r="AJ38"/>
  <c r="AK26"/>
  <c r="AD138"/>
  <c r="AB20"/>
  <c r="AF130"/>
  <c r="AF16"/>
  <c r="AG138"/>
  <c r="H132"/>
  <c r="H88"/>
  <c r="H70"/>
  <c r="H38"/>
  <c r="AE134"/>
  <c r="AE16"/>
  <c r="Z130"/>
  <c r="AA103"/>
  <c r="AA113"/>
  <c r="AL113"/>
  <c r="AB105"/>
  <c r="AD103"/>
  <c r="AB19"/>
  <c r="AB15"/>
  <c r="Z115"/>
  <c r="T241"/>
  <c r="T242" s="1"/>
  <c r="T243" s="1"/>
  <c r="X117"/>
  <c r="AB45"/>
  <c r="Z138"/>
  <c r="AE119"/>
  <c r="AG119"/>
  <c r="AH119"/>
  <c r="X119"/>
  <c r="AJ119"/>
  <c r="Z119"/>
  <c r="AC119"/>
  <c r="H119"/>
  <c r="AE115"/>
  <c r="AG115"/>
  <c r="AH115"/>
  <c r="AB115"/>
  <c r="AL115"/>
  <c r="H115"/>
  <c r="Y115"/>
  <c r="AK115"/>
  <c r="AA115"/>
  <c r="AE111"/>
  <c r="AG111"/>
  <c r="AH111"/>
  <c r="X111"/>
  <c r="AJ111"/>
  <c r="AA111"/>
  <c r="Z111"/>
  <c r="AC111"/>
  <c r="H111"/>
  <c r="AE107"/>
  <c r="AG107"/>
  <c r="AH107"/>
  <c r="AB107"/>
  <c r="AL107"/>
  <c r="Z107"/>
  <c r="Y107"/>
  <c r="AK107"/>
  <c r="H107"/>
  <c r="H101"/>
  <c r="AC101"/>
  <c r="AA101"/>
  <c r="AE101"/>
  <c r="Y101"/>
  <c r="AF101"/>
  <c r="AD101"/>
  <c r="AB101"/>
  <c r="AL101"/>
  <c r="AG101"/>
  <c r="AH101"/>
  <c r="AK101"/>
  <c r="AA85"/>
  <c r="H85"/>
  <c r="AC85"/>
  <c r="AH85"/>
  <c r="Y85"/>
  <c r="AK85"/>
  <c r="AF85"/>
  <c r="AD85"/>
  <c r="AB85"/>
  <c r="AL85"/>
  <c r="AE85"/>
  <c r="AG85"/>
  <c r="AA77"/>
  <c r="H77"/>
  <c r="X77"/>
  <c r="Y77"/>
  <c r="AG77"/>
  <c r="AF77"/>
  <c r="AD77"/>
  <c r="AL77"/>
  <c r="AE77"/>
  <c r="AH77"/>
  <c r="AK77"/>
  <c r="AA69"/>
  <c r="H69"/>
  <c r="X69"/>
  <c r="Y69"/>
  <c r="AE69"/>
  <c r="AH69"/>
  <c r="AF69"/>
  <c r="AD69"/>
  <c r="AL69"/>
  <c r="AG69"/>
  <c r="AK69"/>
  <c r="AA61"/>
  <c r="H61"/>
  <c r="X61"/>
  <c r="Y61"/>
  <c r="AK61"/>
  <c r="AF61"/>
  <c r="AD61"/>
  <c r="AL61"/>
  <c r="AE61"/>
  <c r="AG61"/>
  <c r="AH61"/>
  <c r="AA57"/>
  <c r="AK57"/>
  <c r="Y57"/>
  <c r="AE57"/>
  <c r="AF57"/>
  <c r="AD57"/>
  <c r="AB57"/>
  <c r="AL57"/>
  <c r="AG57"/>
  <c r="AH57"/>
  <c r="X57"/>
  <c r="AA49"/>
  <c r="Y49"/>
  <c r="AK49"/>
  <c r="AG49"/>
  <c r="AC49"/>
  <c r="AE49"/>
  <c r="AF49"/>
  <c r="AD49"/>
  <c r="X49"/>
  <c r="AJ49"/>
  <c r="AH49"/>
  <c r="AA41"/>
  <c r="Y41"/>
  <c r="AK41"/>
  <c r="AG41"/>
  <c r="AH41"/>
  <c r="AE41"/>
  <c r="AF41"/>
  <c r="AD41"/>
  <c r="X41"/>
  <c r="AJ41"/>
  <c r="AC41"/>
  <c r="AA33"/>
  <c r="Y33"/>
  <c r="AK33"/>
  <c r="AG33"/>
  <c r="AE33"/>
  <c r="AF33"/>
  <c r="AD33"/>
  <c r="X33"/>
  <c r="AJ33"/>
  <c r="AH33"/>
  <c r="AC33"/>
  <c r="AA25"/>
  <c r="AE25"/>
  <c r="AD25"/>
  <c r="AC25"/>
  <c r="AG25"/>
  <c r="Y25"/>
  <c r="AK25"/>
  <c r="AH25"/>
  <c r="AF25"/>
  <c r="AB25"/>
  <c r="AL25"/>
  <c r="AD15"/>
  <c r="AH15"/>
  <c r="AF15"/>
  <c r="Y15"/>
  <c r="AK15" s="1"/>
  <c r="AA15"/>
  <c r="AL15" s="1"/>
  <c r="AG15"/>
  <c r="X15"/>
  <c r="AJ15" s="1"/>
  <c r="Z15"/>
  <c r="I149"/>
  <c r="K151"/>
  <c r="K150"/>
  <c r="K149"/>
  <c r="AC57"/>
  <c r="AC65"/>
  <c r="AB119"/>
  <c r="Y117"/>
  <c r="AK109"/>
  <c r="AL45"/>
  <c r="AF111"/>
  <c r="H57"/>
  <c r="H49"/>
  <c r="H41"/>
  <c r="H33"/>
  <c r="H29"/>
  <c r="H25"/>
  <c r="AJ57"/>
  <c r="AK119"/>
  <c r="AC115"/>
  <c r="Y111"/>
  <c r="X109"/>
  <c r="AL41"/>
  <c r="AD111"/>
  <c r="AF107"/>
  <c r="Z117"/>
  <c r="H117"/>
  <c r="AC117"/>
  <c r="AA117"/>
  <c r="AH117"/>
  <c r="AF117"/>
  <c r="AD117"/>
  <c r="AB117"/>
  <c r="AL117"/>
  <c r="AE117"/>
  <c r="AG117"/>
  <c r="Z113"/>
  <c r="H113"/>
  <c r="Y113"/>
  <c r="AK113"/>
  <c r="AE113"/>
  <c r="AF113"/>
  <c r="AD113"/>
  <c r="X113"/>
  <c r="AJ113"/>
  <c r="AG113"/>
  <c r="AH113"/>
  <c r="H109"/>
  <c r="AC109"/>
  <c r="AG109"/>
  <c r="AF109"/>
  <c r="AD109"/>
  <c r="AB109"/>
  <c r="AL109"/>
  <c r="AE109"/>
  <c r="AH109"/>
  <c r="H105"/>
  <c r="Y105"/>
  <c r="AK105"/>
  <c r="AH105"/>
  <c r="AF105"/>
  <c r="AD105"/>
  <c r="X105"/>
  <c r="AJ105"/>
  <c r="AE105"/>
  <c r="AG105"/>
  <c r="AE103"/>
  <c r="AG103"/>
  <c r="AH103"/>
  <c r="X103"/>
  <c r="AJ103"/>
  <c r="H103"/>
  <c r="AL103"/>
  <c r="Z103"/>
  <c r="AC103"/>
  <c r="AB103"/>
  <c r="AA91"/>
  <c r="H91"/>
  <c r="Y91"/>
  <c r="AK91"/>
  <c r="AG91"/>
  <c r="AC91"/>
  <c r="AF91"/>
  <c r="AD91"/>
  <c r="X91"/>
  <c r="AJ91"/>
  <c r="AE91"/>
  <c r="AH91"/>
  <c r="AA81"/>
  <c r="H81"/>
  <c r="AC81"/>
  <c r="AE81"/>
  <c r="AK81"/>
  <c r="AF81"/>
  <c r="AD81"/>
  <c r="AB81"/>
  <c r="AL81"/>
  <c r="AG81"/>
  <c r="AH81"/>
  <c r="Y81"/>
  <c r="AA73"/>
  <c r="H73"/>
  <c r="X73"/>
  <c r="Y73"/>
  <c r="AK73"/>
  <c r="AF73"/>
  <c r="AD73"/>
  <c r="AL73"/>
  <c r="AE73"/>
  <c r="AG73"/>
  <c r="AH73"/>
  <c r="AA65"/>
  <c r="H65"/>
  <c r="X65"/>
  <c r="Y65"/>
  <c r="AG65"/>
  <c r="AF65"/>
  <c r="AD65"/>
  <c r="AL65"/>
  <c r="AE65"/>
  <c r="AH65"/>
  <c r="AK65"/>
  <c r="AA45"/>
  <c r="Y45"/>
  <c r="AK45"/>
  <c r="AE45"/>
  <c r="AF45"/>
  <c r="AD45"/>
  <c r="X45"/>
  <c r="AJ45"/>
  <c r="AG45"/>
  <c r="AH45"/>
  <c r="AC45"/>
  <c r="AA37"/>
  <c r="Y37"/>
  <c r="AK37"/>
  <c r="AE37"/>
  <c r="AF37"/>
  <c r="AD37"/>
  <c r="X37"/>
  <c r="AJ37"/>
  <c r="AG37"/>
  <c r="AH37"/>
  <c r="AC37"/>
  <c r="AA29"/>
  <c r="AE29"/>
  <c r="AD29"/>
  <c r="Y29"/>
  <c r="AK29"/>
  <c r="AH29"/>
  <c r="AF29"/>
  <c r="X29"/>
  <c r="AJ29"/>
  <c r="AG29"/>
  <c r="AC29"/>
  <c r="AD19"/>
  <c r="AH19"/>
  <c r="AF19"/>
  <c r="AC19"/>
  <c r="Z19"/>
  <c r="X19"/>
  <c r="AJ19" s="1"/>
  <c r="AG19"/>
  <c r="Y19"/>
  <c r="AK19" s="1"/>
  <c r="AA109"/>
  <c r="AC73"/>
  <c r="X115"/>
  <c r="AL111"/>
  <c r="AJ107"/>
  <c r="AC105"/>
  <c r="AJ101"/>
  <c r="AJ85"/>
  <c r="AJ81"/>
  <c r="AB41"/>
  <c r="AJ25"/>
  <c r="AD115"/>
  <c r="H37"/>
  <c r="AA119"/>
  <c r="AA107"/>
  <c r="AC61"/>
  <c r="AC69"/>
  <c r="AC77"/>
  <c r="AL119"/>
  <c r="AK117"/>
  <c r="AJ115"/>
  <c r="AC113"/>
  <c r="AB111"/>
  <c r="Y109"/>
  <c r="X107"/>
  <c r="AK103"/>
  <c r="AB91"/>
  <c r="AB77"/>
  <c r="AB73"/>
  <c r="AB69"/>
  <c r="AB65"/>
  <c r="AB61"/>
  <c r="AB49"/>
  <c r="AL37"/>
  <c r="AB33"/>
  <c r="AL29"/>
  <c r="AD107"/>
  <c r="AF119"/>
  <c r="AF103"/>
  <c r="Z105"/>
  <c r="AA136"/>
  <c r="AA134"/>
  <c r="AT26"/>
  <c r="AC16"/>
  <c r="AA16"/>
  <c r="AL16" s="1"/>
  <c r="X88"/>
  <c r="AL54"/>
  <c r="AL58"/>
  <c r="AC62"/>
  <c r="AC66"/>
  <c r="AC70"/>
  <c r="AC74"/>
  <c r="AC78"/>
  <c r="AJ138"/>
  <c r="X138"/>
  <c r="AC136"/>
  <c r="AL134"/>
  <c r="AB134"/>
  <c r="AK132"/>
  <c r="Y132"/>
  <c r="AJ130"/>
  <c r="X130"/>
  <c r="AC128"/>
  <c r="AK92"/>
  <c r="Y92"/>
  <c r="AJ88"/>
  <c r="AC82"/>
  <c r="X78"/>
  <c r="X74"/>
  <c r="X70"/>
  <c r="X66"/>
  <c r="X62"/>
  <c r="AK54"/>
  <c r="AK50"/>
  <c r="Y50"/>
  <c r="AK46"/>
  <c r="Y46"/>
  <c r="AK42"/>
  <c r="Y42"/>
  <c r="AK38"/>
  <c r="Y38"/>
  <c r="AK34"/>
  <c r="Y34"/>
  <c r="AC30"/>
  <c r="AC26"/>
  <c r="AH136"/>
  <c r="AH132"/>
  <c r="AH128"/>
  <c r="AH92"/>
  <c r="AH88"/>
  <c r="AH82"/>
  <c r="AH78"/>
  <c r="AH74"/>
  <c r="AH70"/>
  <c r="AH66"/>
  <c r="AH62"/>
  <c r="AH58"/>
  <c r="AH54"/>
  <c r="AH50"/>
  <c r="AH46"/>
  <c r="AH42"/>
  <c r="AH38"/>
  <c r="AH34"/>
  <c r="AG136"/>
  <c r="AG132"/>
  <c r="AG128"/>
  <c r="AG92"/>
  <c r="AG88"/>
  <c r="AG82"/>
  <c r="AG78"/>
  <c r="AG74"/>
  <c r="AG70"/>
  <c r="AG66"/>
  <c r="AG62"/>
  <c r="AG58"/>
  <c r="AG54"/>
  <c r="AG50"/>
  <c r="AG46"/>
  <c r="AG42"/>
  <c r="AG38"/>
  <c r="AG34"/>
  <c r="AG30"/>
  <c r="AG26"/>
  <c r="H138"/>
  <c r="H134"/>
  <c r="H130"/>
  <c r="H173"/>
  <c r="AE136"/>
  <c r="AE132"/>
  <c r="AE128"/>
  <c r="AE92"/>
  <c r="AE88"/>
  <c r="AE82"/>
  <c r="AE78"/>
  <c r="AE74"/>
  <c r="AE70"/>
  <c r="AE66"/>
  <c r="AE62"/>
  <c r="Z20"/>
  <c r="Z16"/>
  <c r="AA132"/>
  <c r="AA138"/>
  <c r="AS26"/>
  <c r="Y54"/>
  <c r="AJ62"/>
  <c r="AJ66"/>
  <c r="AJ70"/>
  <c r="AJ74"/>
  <c r="AJ78"/>
  <c r="Y78"/>
  <c r="AK138"/>
  <c r="AJ136"/>
  <c r="X136"/>
  <c r="AL132"/>
  <c r="AB132"/>
  <c r="AK130"/>
  <c r="AJ128"/>
  <c r="X128"/>
  <c r="AL92"/>
  <c r="AB92"/>
  <c r="AL88"/>
  <c r="AJ82"/>
  <c r="X82"/>
  <c r="AB78"/>
  <c r="AB74"/>
  <c r="AB70"/>
  <c r="AB66"/>
  <c r="AB62"/>
  <c r="AL50"/>
  <c r="AB50"/>
  <c r="AL46"/>
  <c r="AB46"/>
  <c r="AL42"/>
  <c r="AB42"/>
  <c r="AL38"/>
  <c r="AB38"/>
  <c r="AL34"/>
  <c r="AB34"/>
  <c r="AK30"/>
  <c r="AJ26"/>
  <c r="X26"/>
  <c r="X20"/>
  <c r="AJ20" s="1"/>
  <c r="AD136"/>
  <c r="AD132"/>
  <c r="AD128"/>
  <c r="AD92"/>
  <c r="AD88"/>
  <c r="AD82"/>
  <c r="AD78"/>
  <c r="AD74"/>
  <c r="AD70"/>
  <c r="AD66"/>
  <c r="AD62"/>
  <c r="AD58"/>
  <c r="AD54"/>
  <c r="AD50"/>
  <c r="AD46"/>
  <c r="AD42"/>
  <c r="AD38"/>
  <c r="AD34"/>
  <c r="AF136"/>
  <c r="AF132"/>
  <c r="AF128"/>
  <c r="AF92"/>
  <c r="AF88"/>
  <c r="AF82"/>
  <c r="AF78"/>
  <c r="AF74"/>
  <c r="AF70"/>
  <c r="AF66"/>
  <c r="AF62"/>
  <c r="AF58"/>
  <c r="AF54"/>
  <c r="AF50"/>
  <c r="AF46"/>
  <c r="AF42"/>
  <c r="AF38"/>
  <c r="AF34"/>
  <c r="AF30"/>
  <c r="AF26"/>
  <c r="AH26"/>
  <c r="AG20"/>
  <c r="AG16"/>
  <c r="AE54"/>
  <c r="AE50"/>
  <c r="AE46"/>
  <c r="AE42"/>
  <c r="AE38"/>
  <c r="AE34"/>
  <c r="M66" i="53"/>
  <c r="O66"/>
  <c r="M38"/>
  <c r="O38"/>
  <c r="M46"/>
  <c r="O46"/>
  <c r="O53"/>
  <c r="M53"/>
  <c r="O43"/>
  <c r="M43"/>
  <c r="M28"/>
  <c r="O28"/>
  <c r="M56"/>
  <c r="O56"/>
  <c r="O35"/>
  <c r="M35"/>
  <c r="K81"/>
  <c r="L37"/>
  <c r="L42"/>
  <c r="L62"/>
  <c r="L79"/>
  <c r="M30"/>
  <c r="M48"/>
  <c r="L83"/>
  <c r="K79"/>
  <c r="G74"/>
  <c r="K65"/>
  <c r="G62"/>
  <c r="G59"/>
  <c r="K55"/>
  <c r="K52"/>
  <c r="K42"/>
  <c r="K37"/>
  <c r="K34"/>
  <c r="K24"/>
  <c r="L24"/>
  <c r="G42"/>
  <c r="L65"/>
  <c r="L69"/>
  <c r="L74"/>
  <c r="G78"/>
  <c r="K76"/>
  <c r="G64"/>
  <c r="G61"/>
  <c r="G33"/>
  <c r="K29"/>
  <c r="K26"/>
  <c r="M27"/>
  <c r="L52"/>
  <c r="M84"/>
  <c r="M82"/>
  <c r="K80"/>
  <c r="K73"/>
  <c r="K71"/>
  <c r="K68"/>
  <c r="K58"/>
  <c r="AC58" i="48"/>
  <c r="X58"/>
  <c r="H58"/>
  <c r="AJ58"/>
  <c r="AB58"/>
  <c r="AE58"/>
  <c r="G208"/>
  <c r="G189"/>
  <c r="Q208"/>
  <c r="Q189"/>
  <c r="G143"/>
  <c r="AL30"/>
  <c r="AJ30"/>
  <c r="AB30"/>
  <c r="X30"/>
  <c r="AD30"/>
  <c r="AH30"/>
  <c r="AE30"/>
  <c r="M79" i="53"/>
  <c r="O79"/>
  <c r="O71"/>
  <c r="M71"/>
  <c r="O68"/>
  <c r="M68"/>
  <c r="O65"/>
  <c r="M65"/>
  <c r="M58"/>
  <c r="O58"/>
  <c r="O55"/>
  <c r="M55"/>
  <c r="O52"/>
  <c r="M52"/>
  <c r="O49"/>
  <c r="M49"/>
  <c r="M40"/>
  <c r="O40"/>
  <c r="O37"/>
  <c r="M37"/>
  <c r="O34"/>
  <c r="M34"/>
  <c r="M31"/>
  <c r="O31"/>
  <c r="M24"/>
  <c r="O24"/>
  <c r="M75"/>
  <c r="O75"/>
  <c r="M63"/>
  <c r="O63"/>
  <c r="M60"/>
  <c r="O60"/>
  <c r="M57"/>
  <c r="O57"/>
  <c r="O50"/>
  <c r="M50"/>
  <c r="M47"/>
  <c r="O47"/>
  <c r="M44"/>
  <c r="O44"/>
  <c r="M39"/>
  <c r="O39"/>
  <c r="O32"/>
  <c r="M32"/>
  <c r="M29"/>
  <c r="O29"/>
  <c r="M26"/>
  <c r="O26"/>
  <c r="M23"/>
  <c r="O23"/>
  <c r="K70"/>
  <c r="K67"/>
  <c r="K57"/>
  <c r="K49"/>
  <c r="K39"/>
  <c r="K31"/>
  <c r="K23"/>
  <c r="Z120" i="48"/>
  <c r="AA108"/>
  <c r="AA112"/>
  <c r="AC17"/>
  <c r="AN53"/>
  <c r="AK53" s="1"/>
  <c r="AL52"/>
  <c r="AA105"/>
  <c r="AA104"/>
  <c r="AA19"/>
  <c r="AL19" s="1"/>
  <c r="AA106"/>
  <c r="I86"/>
  <c r="O80" i="53"/>
  <c r="M80"/>
  <c r="O77"/>
  <c r="M77"/>
  <c r="O76"/>
  <c r="M76"/>
  <c r="M73"/>
  <c r="O73"/>
  <c r="O69"/>
  <c r="M69"/>
  <c r="M70"/>
  <c r="O70"/>
  <c r="M67"/>
  <c r="O67"/>
  <c r="K69"/>
  <c r="O41" l="1"/>
  <c r="M41"/>
  <c r="U145" i="48"/>
  <c r="V144"/>
  <c r="U241"/>
  <c r="V241" s="1"/>
  <c r="I143"/>
  <c r="S177"/>
  <c r="O25" i="53"/>
  <c r="M25"/>
  <c r="M36"/>
  <c r="M51"/>
  <c r="O51"/>
  <c r="C16"/>
  <c r="E16" s="1"/>
  <c r="O54"/>
  <c r="M54"/>
  <c r="AT27" i="48"/>
  <c r="AR27"/>
  <c r="AS27"/>
  <c r="AQ29"/>
  <c r="AR29" s="1"/>
  <c r="AS28"/>
  <c r="AT28"/>
  <c r="AR28"/>
  <c r="R160"/>
  <c r="S160"/>
  <c r="O160"/>
  <c r="H140"/>
  <c r="F179" s="1"/>
  <c r="F180" s="1"/>
  <c r="Q160"/>
  <c r="U242"/>
  <c r="V242" s="1"/>
  <c r="K143"/>
  <c r="J143"/>
  <c r="O78" i="53"/>
  <c r="M78"/>
  <c r="O59"/>
  <c r="M59"/>
  <c r="O74"/>
  <c r="M74"/>
  <c r="M42"/>
  <c r="O42"/>
  <c r="O64"/>
  <c r="M64"/>
  <c r="C17"/>
  <c r="E17" s="1"/>
  <c r="M33"/>
  <c r="O33"/>
  <c r="O61"/>
  <c r="M61"/>
  <c r="M62"/>
  <c r="O62"/>
  <c r="P160" i="48"/>
  <c r="M143"/>
  <c r="F157" s="1"/>
  <c r="G157" s="1"/>
  <c r="N160"/>
  <c r="L143"/>
  <c r="T244"/>
  <c r="U243"/>
  <c r="V243" s="1"/>
  <c r="E10" i="53" l="1"/>
  <c r="C10" s="1"/>
  <c r="E9"/>
  <c r="C9" s="1"/>
  <c r="V145" i="48"/>
  <c r="U146"/>
  <c r="U147" s="1"/>
  <c r="U148" s="1"/>
  <c r="U149" s="1"/>
  <c r="U150" s="1"/>
  <c r="U151" s="1"/>
  <c r="U152" s="1"/>
  <c r="U153" s="1"/>
  <c r="U154" s="1"/>
  <c r="U155" s="1"/>
  <c r="U156" s="1"/>
  <c r="U157" s="1"/>
  <c r="U158" s="1"/>
  <c r="U159" s="1"/>
  <c r="U160" s="1"/>
  <c r="U161" s="1"/>
  <c r="U162" s="1"/>
  <c r="U163" s="1"/>
  <c r="U164" s="1"/>
  <c r="U165" s="1"/>
  <c r="U166" s="1"/>
  <c r="U167" s="1"/>
  <c r="U168" s="1"/>
  <c r="U169" s="1"/>
  <c r="U170" s="1"/>
  <c r="U171" s="1"/>
  <c r="U172" s="1"/>
  <c r="U173" s="1"/>
  <c r="U174" s="1"/>
  <c r="U175" s="1"/>
  <c r="U176" s="1"/>
  <c r="U177" s="1"/>
  <c r="U178" s="1"/>
  <c r="U179" s="1"/>
  <c r="U180" s="1"/>
  <c r="U181" s="1"/>
  <c r="U182" s="1"/>
  <c r="U183" s="1"/>
  <c r="U184" s="1"/>
  <c r="U185" s="1"/>
  <c r="F181"/>
  <c r="E7" s="1"/>
  <c r="AK208"/>
  <c r="G209" s="1"/>
  <c r="AQ30"/>
  <c r="AS30" s="1"/>
  <c r="AT29"/>
  <c r="AS29"/>
  <c r="U244"/>
  <c r="V244" s="1"/>
  <c r="T245"/>
  <c r="V11"/>
  <c r="Q162" l="1"/>
  <c r="Q164" s="1"/>
  <c r="S178"/>
  <c r="J183"/>
  <c r="J184" s="1"/>
  <c r="J185"/>
  <c r="AK189"/>
  <c r="Q190" s="1"/>
  <c r="E18" i="53"/>
  <c r="F17" s="1"/>
  <c r="AR30" i="48"/>
  <c r="F182"/>
  <c r="AN208"/>
  <c r="AN210" s="1"/>
  <c r="G210"/>
  <c r="Q209"/>
  <c r="AM208"/>
  <c r="AM210" s="1"/>
  <c r="Q210"/>
  <c r="AT30"/>
  <c r="N162"/>
  <c r="N163" s="1"/>
  <c r="AQ31"/>
  <c r="AQ32" s="1"/>
  <c r="P162"/>
  <c r="P164" s="1"/>
  <c r="R162"/>
  <c r="R164" s="1"/>
  <c r="G162"/>
  <c r="S162"/>
  <c r="S164" s="1"/>
  <c r="F183"/>
  <c r="AJ188" s="1"/>
  <c r="O162"/>
  <c r="O163" s="1"/>
  <c r="U245"/>
  <c r="V245" s="1"/>
  <c r="T246"/>
  <c r="V12"/>
  <c r="I6" l="1"/>
  <c r="G191"/>
  <c r="AN189"/>
  <c r="AN191" s="1"/>
  <c r="AM189"/>
  <c r="AM191" s="1"/>
  <c r="Q191"/>
  <c r="G190"/>
  <c r="E19" i="53"/>
  <c r="I16"/>
  <c r="C18"/>
  <c r="C19"/>
  <c r="F16"/>
  <c r="I17"/>
  <c r="AS31" i="48"/>
  <c r="I5"/>
  <c r="AT31"/>
  <c r="AR31"/>
  <c r="D4"/>
  <c r="F184"/>
  <c r="D5" s="1"/>
  <c r="O237" s="1"/>
  <c r="AQ33"/>
  <c r="AR32"/>
  <c r="AS32"/>
  <c r="AT32"/>
  <c r="U246"/>
  <c r="V246" s="1"/>
  <c r="T247"/>
  <c r="V13"/>
  <c r="F202" l="1"/>
  <c r="AJ207" s="1"/>
  <c r="O236"/>
  <c r="O238" s="1"/>
  <c r="AM192"/>
  <c r="F185"/>
  <c r="D226" s="1"/>
  <c r="D6"/>
  <c r="AJ189"/>
  <c r="AK188" s="1"/>
  <c r="F203"/>
  <c r="AJ208" s="1"/>
  <c r="AR33"/>
  <c r="AS33"/>
  <c r="AT33"/>
  <c r="AQ34"/>
  <c r="U247"/>
  <c r="V247" s="1"/>
  <c r="T248"/>
  <c r="V14"/>
  <c r="G193" l="1"/>
  <c r="Q193"/>
  <c r="AK207"/>
  <c r="G207" s="1"/>
  <c r="D229"/>
  <c r="D230" s="1"/>
  <c r="G188"/>
  <c r="Q188"/>
  <c r="AM188"/>
  <c r="AM190" s="1"/>
  <c r="G192"/>
  <c r="AK190"/>
  <c r="AN188"/>
  <c r="AN190" s="1"/>
  <c r="I4"/>
  <c r="G170"/>
  <c r="I7"/>
  <c r="F204"/>
  <c r="G212" s="1"/>
  <c r="AM211"/>
  <c r="Q192"/>
  <c r="AR34"/>
  <c r="AQ35"/>
  <c r="AT34"/>
  <c r="AS34"/>
  <c r="U248"/>
  <c r="V248" s="1"/>
  <c r="T249"/>
  <c r="V15"/>
  <c r="AN207" l="1"/>
  <c r="AN209" s="1"/>
  <c r="Q212"/>
  <c r="G211"/>
  <c r="Q207"/>
  <c r="Q211"/>
  <c r="AM207"/>
  <c r="AM209" s="1"/>
  <c r="AK209"/>
  <c r="E230"/>
  <c r="AR35"/>
  <c r="AT35"/>
  <c r="AQ36"/>
  <c r="AS35"/>
  <c r="U249"/>
  <c r="V249" s="1"/>
  <c r="T250"/>
  <c r="V16"/>
  <c r="E228" l="1"/>
  <c r="E229"/>
  <c r="AQ37"/>
  <c r="AS36"/>
  <c r="AT36"/>
  <c r="AR36"/>
  <c r="U250"/>
  <c r="V250" s="1"/>
  <c r="T251"/>
  <c r="V17"/>
  <c r="AQ38" l="1"/>
  <c r="AS37"/>
  <c r="AT37"/>
  <c r="AR37"/>
  <c r="U251"/>
  <c r="V251" s="1"/>
  <c r="T252"/>
  <c r="V18"/>
  <c r="AS38" l="1"/>
  <c r="AQ39"/>
  <c r="AR38"/>
  <c r="AT38"/>
  <c r="U252"/>
  <c r="V252" s="1"/>
  <c r="T253"/>
  <c r="V19"/>
  <c r="AT39" l="1"/>
  <c r="AS39"/>
  <c r="AQ40"/>
  <c r="AR39"/>
  <c r="T254"/>
  <c r="U253"/>
  <c r="V253" s="1"/>
  <c r="V20"/>
  <c r="AR40" l="1"/>
  <c r="AT40"/>
  <c r="AQ41"/>
  <c r="AS40"/>
  <c r="U254"/>
  <c r="V254" s="1"/>
  <c r="T255"/>
  <c r="V21"/>
  <c r="AR41" l="1"/>
  <c r="AQ42"/>
  <c r="AS41"/>
  <c r="AT41"/>
  <c r="T256"/>
  <c r="U255"/>
  <c r="V255" s="1"/>
  <c r="V22"/>
  <c r="AQ43" l="1"/>
  <c r="AR42"/>
  <c r="AS42"/>
  <c r="AT42"/>
  <c r="T257"/>
  <c r="U256"/>
  <c r="V256" s="1"/>
  <c r="V23"/>
  <c r="AQ44" l="1"/>
  <c r="AS43"/>
  <c r="AR43"/>
  <c r="AT43"/>
  <c r="T258"/>
  <c r="U257"/>
  <c r="V257" s="1"/>
  <c r="V24"/>
  <c r="U258" l="1"/>
  <c r="V258" s="1"/>
  <c r="T259"/>
  <c r="U259" s="1"/>
  <c r="AS44"/>
  <c r="AR44"/>
  <c r="AT44"/>
  <c r="AQ45"/>
  <c r="V25"/>
  <c r="AS45" l="1"/>
  <c r="AR45"/>
  <c r="AT45"/>
  <c r="AQ46"/>
  <c r="V26"/>
  <c r="V259" l="1"/>
  <c r="T260"/>
  <c r="U260" s="1"/>
  <c r="AS46"/>
  <c r="AT46"/>
  <c r="AQ47"/>
  <c r="AQ48" s="1"/>
  <c r="AR46"/>
  <c r="V27"/>
  <c r="AS48" l="1"/>
  <c r="AQ49"/>
  <c r="AT48"/>
  <c r="AR48"/>
  <c r="V260"/>
  <c r="T261"/>
  <c r="U261" s="1"/>
  <c r="AT47"/>
  <c r="AS47"/>
  <c r="AR47"/>
  <c r="V28"/>
  <c r="AS49" l="1"/>
  <c r="AQ50"/>
  <c r="AT49"/>
  <c r="AR49"/>
  <c r="T262"/>
  <c r="V261"/>
  <c r="V29"/>
  <c r="AS50" l="1"/>
  <c r="AT50"/>
  <c r="AQ51"/>
  <c r="AR50"/>
  <c r="T263"/>
  <c r="U262"/>
  <c r="V262" s="1"/>
  <c r="V30"/>
  <c r="AT51" l="1"/>
  <c r="AR51"/>
  <c r="AS51"/>
  <c r="AQ52"/>
  <c r="U263"/>
  <c r="V263" s="1"/>
  <c r="T264"/>
  <c r="V31"/>
  <c r="AQ53" l="1"/>
  <c r="AR52"/>
  <c r="AS52"/>
  <c r="AT52"/>
  <c r="T265"/>
  <c r="U264"/>
  <c r="V264" s="1"/>
  <c r="V32"/>
  <c r="AQ54" l="1"/>
  <c r="AR53"/>
  <c r="AT53"/>
  <c r="AS53"/>
  <c r="T266"/>
  <c r="U265"/>
  <c r="V265" s="1"/>
  <c r="V33"/>
  <c r="AQ55" l="1"/>
  <c r="AT54"/>
  <c r="AR54"/>
  <c r="AS54"/>
  <c r="U266"/>
  <c r="V266" s="1"/>
  <c r="T267"/>
  <c r="V34"/>
  <c r="AT55" l="1"/>
  <c r="AR55"/>
  <c r="AS55"/>
  <c r="AQ56"/>
  <c r="T268"/>
  <c r="U267"/>
  <c r="V267" s="1"/>
  <c r="V35"/>
  <c r="AQ57" l="1"/>
  <c r="AS56"/>
  <c r="AT56"/>
  <c r="AR56"/>
  <c r="T269"/>
  <c r="U268"/>
  <c r="V268" s="1"/>
  <c r="V36"/>
  <c r="AT57" l="1"/>
  <c r="AQ58"/>
  <c r="AR57"/>
  <c r="AS57"/>
  <c r="T270"/>
  <c r="U269"/>
  <c r="V269" s="1"/>
  <c r="V37"/>
  <c r="AT58" l="1"/>
  <c r="AQ59"/>
  <c r="AS58"/>
  <c r="AR58"/>
  <c r="T271"/>
  <c r="U270"/>
  <c r="V270" s="1"/>
  <c r="V38"/>
  <c r="AT59" l="1"/>
  <c r="AQ60"/>
  <c r="AR59"/>
  <c r="AS59"/>
  <c r="U271"/>
  <c r="V271" s="1"/>
  <c r="T272"/>
  <c r="T273" s="1"/>
  <c r="V39"/>
  <c r="U273" l="1"/>
  <c r="V273" s="1"/>
  <c r="T274"/>
  <c r="U274" s="1"/>
  <c r="V274" s="1"/>
  <c r="AT60"/>
  <c r="AR60"/>
  <c r="AS60"/>
  <c r="AQ61"/>
  <c r="U272"/>
  <c r="V272" s="1"/>
  <c r="V40"/>
  <c r="AS61" l="1"/>
  <c r="AQ62"/>
  <c r="AT61"/>
  <c r="AR61"/>
  <c r="T275"/>
  <c r="T276" s="1"/>
  <c r="V41"/>
  <c r="T277" l="1"/>
  <c r="U276"/>
  <c r="V276" s="1"/>
  <c r="U275"/>
  <c r="V275" s="1"/>
  <c r="AQ63"/>
  <c r="AT62"/>
  <c r="AR62"/>
  <c r="AS62"/>
  <c r="V42"/>
  <c r="U277" l="1"/>
  <c r="V277" s="1"/>
  <c r="T278"/>
  <c r="AS63"/>
  <c r="AT63"/>
  <c r="AR63"/>
  <c r="AQ64"/>
  <c r="V43"/>
  <c r="T279" l="1"/>
  <c r="U279" s="1"/>
  <c r="V279" s="1"/>
  <c r="U278"/>
  <c r="V278" s="1"/>
  <c r="AS64"/>
  <c r="AR64"/>
  <c r="AT64"/>
  <c r="V44"/>
  <c r="V45" l="1"/>
  <c r="V46" l="1"/>
  <c r="V47" l="1"/>
  <c r="U280" l="1"/>
  <c r="V280" s="1"/>
  <c r="V48"/>
  <c r="V49" l="1"/>
  <c r="V50" l="1"/>
  <c r="V51" l="1"/>
  <c r="V52" l="1"/>
  <c r="V53" l="1"/>
  <c r="V54" l="1"/>
  <c r="V55" l="1"/>
  <c r="V56" l="1"/>
  <c r="V57" l="1"/>
  <c r="V58" l="1"/>
  <c r="V59" l="1"/>
  <c r="V60" l="1"/>
  <c r="V61" l="1"/>
  <c r="V62" l="1"/>
  <c r="V63" l="1"/>
  <c r="V64" l="1"/>
  <c r="V65" l="1"/>
  <c r="V66" l="1"/>
  <c r="V67" l="1"/>
  <c r="V68" l="1"/>
  <c r="V69" l="1"/>
  <c r="V70" l="1"/>
  <c r="V71" l="1"/>
  <c r="V72" l="1"/>
  <c r="V73" l="1"/>
  <c r="V74" l="1"/>
  <c r="V75" l="1"/>
  <c r="V76" l="1"/>
  <c r="V77" l="1"/>
  <c r="V78" l="1"/>
  <c r="V79" l="1"/>
  <c r="V80" l="1"/>
  <c r="V81" l="1"/>
  <c r="V82" l="1"/>
  <c r="V83" l="1"/>
  <c r="V84" l="1"/>
  <c r="V85" l="1"/>
  <c r="V86" l="1"/>
  <c r="V87" l="1"/>
  <c r="V88" l="1"/>
  <c r="V89" l="1"/>
  <c r="V90" l="1"/>
  <c r="V91" l="1"/>
  <c r="V92" l="1"/>
  <c r="V93" l="1"/>
  <c r="V94" l="1"/>
  <c r="V95" l="1"/>
  <c r="V96" l="1"/>
  <c r="V97" l="1"/>
  <c r="V98" l="1"/>
  <c r="V99" l="1"/>
  <c r="V100" l="1"/>
  <c r="V101" l="1"/>
  <c r="V102" l="1"/>
  <c r="V103" l="1"/>
  <c r="V104" l="1"/>
  <c r="V105" l="1"/>
  <c r="V106" l="1"/>
  <c r="V107" l="1"/>
  <c r="V108" l="1"/>
  <c r="V109" l="1"/>
  <c r="V110" l="1"/>
  <c r="V111" l="1"/>
  <c r="V112" l="1"/>
  <c r="V113" l="1"/>
  <c r="V114" l="1"/>
  <c r="V115" l="1"/>
  <c r="V116" l="1"/>
  <c r="V117" l="1"/>
  <c r="V118" l="1"/>
  <c r="V119" l="1"/>
  <c r="V120" l="1"/>
  <c r="V121" l="1"/>
  <c r="V122" l="1"/>
  <c r="V123" l="1"/>
  <c r="V124" l="1"/>
  <c r="V125" l="1"/>
  <c r="V126" l="1"/>
  <c r="V127" l="1"/>
  <c r="V128" l="1"/>
  <c r="V129" l="1"/>
  <c r="V130" l="1"/>
  <c r="V131" l="1"/>
  <c r="V132" l="1"/>
  <c r="V133" l="1"/>
  <c r="V134" l="1"/>
  <c r="V135" l="1"/>
  <c r="V136" l="1"/>
  <c r="V137" l="1"/>
  <c r="V138" l="1"/>
  <c r="V139" l="1"/>
  <c r="V140" l="1"/>
  <c r="V141" l="1"/>
  <c r="V142" l="1"/>
  <c r="V143" l="1"/>
  <c r="V146" l="1"/>
  <c r="V147" l="1"/>
  <c r="V148" l="1"/>
  <c r="V149" l="1"/>
  <c r="V150" l="1"/>
  <c r="V151" l="1"/>
  <c r="V152" l="1"/>
  <c r="V153" l="1"/>
  <c r="V154" l="1"/>
  <c r="V155" l="1"/>
  <c r="V156" l="1"/>
  <c r="V157" l="1"/>
  <c r="V158" l="1"/>
  <c r="V159" l="1"/>
  <c r="V160" l="1"/>
  <c r="V161" l="1"/>
  <c r="V162" l="1"/>
  <c r="V163" l="1"/>
  <c r="V164" l="1"/>
  <c r="V165" l="1"/>
  <c r="V166" l="1"/>
  <c r="V167" l="1"/>
  <c r="V168" l="1"/>
  <c r="V169" l="1"/>
  <c r="V170" l="1"/>
  <c r="V171" l="1"/>
  <c r="V172" l="1"/>
  <c r="V173" l="1"/>
  <c r="V174" l="1"/>
  <c r="V175" l="1"/>
  <c r="V176" l="1"/>
  <c r="V177" l="1"/>
  <c r="V178" l="1"/>
  <c r="V179" l="1"/>
  <c r="V180" l="1"/>
  <c r="V181" l="1"/>
  <c r="V182" l="1"/>
  <c r="V183" l="1"/>
  <c r="V184" l="1"/>
  <c r="V185"/>
  <c r="E143"/>
  <c r="F143"/>
  <c r="O67" i="71"/>
  <c r="D11" s="1"/>
  <c r="L67"/>
  <c r="D10" s="1"/>
  <c r="R67"/>
  <c r="D12" s="1"/>
</calcChain>
</file>

<file path=xl/sharedStrings.xml><?xml version="1.0" encoding="utf-8"?>
<sst xmlns="http://schemas.openxmlformats.org/spreadsheetml/2006/main" count="4277" uniqueCount="1827">
  <si>
    <t>Not sure about this info but it's better than nowt! (Possibly.)</t>
  </si>
  <si>
    <t xml:space="preserve"> "Max" ammouts using</t>
  </si>
  <si>
    <t>"Max" % for</t>
  </si>
  <si>
    <t>Copyright Peter J. Laycock 28~10~'14</t>
  </si>
  <si>
    <t xml:space="preserve">   This is equivalent to</t>
  </si>
  <si>
    <t>The following units are metric as are my other spreadsheets.</t>
  </si>
  <si>
    <t>Atten NO sug</t>
  </si>
  <si>
    <t>X69</t>
  </si>
  <si>
    <t>X72</t>
  </si>
  <si>
    <t>X73</t>
  </si>
  <si>
    <t>sug</t>
  </si>
  <si>
    <t>For more information about "carbonation" see "Beer Primer" page.</t>
  </si>
  <si>
    <t>For a bottle/glass size of</t>
  </si>
  <si>
    <t>m1</t>
  </si>
  <si>
    <t>pint</t>
  </si>
  <si>
    <t>fl oz</t>
  </si>
  <si>
    <t>Calories from the alcohol</t>
  </si>
  <si>
    <t>Calories from the residual sugars</t>
  </si>
  <si>
    <t>Carbohydrates</t>
  </si>
  <si>
    <t>Fluid</t>
  </si>
  <si>
    <t>Total calories</t>
  </si>
  <si>
    <t>/ ml</t>
  </si>
  <si>
    <t>lbs</t>
  </si>
  <si>
    <t>oz</t>
  </si>
  <si>
    <t>tsp</t>
  </si>
  <si>
    <t>C</t>
  </si>
  <si>
    <t>Attn. Malt</t>
  </si>
  <si>
    <t>Attn. Sug</t>
  </si>
  <si>
    <t>Attn. no Sug</t>
  </si>
  <si>
    <t>1st hop Wt (oz)</t>
  </si>
  <si>
    <t>IMPORTANT NOTES:-</t>
  </si>
  <si>
    <t>Liter</t>
  </si>
  <si>
    <t xml:space="preserve">OR  </t>
  </si>
  <si>
    <r>
      <t>Boil vol.</t>
    </r>
    <r>
      <rPr>
        <sz val="10"/>
        <color indexed="10"/>
        <rFont val="Times New Roman"/>
        <family val="1"/>
      </rPr>
      <t xml:space="preserve"> (LITRES)</t>
    </r>
  </si>
  <si>
    <t>Metric</t>
  </si>
  <si>
    <t>°/lb/gall</t>
  </si>
  <si>
    <t>(76% nominally)</t>
  </si>
  <si>
    <r>
      <t xml:space="preserve">"Effective" O.G. </t>
    </r>
    <r>
      <rPr>
        <sz val="10"/>
        <color indexed="10"/>
        <rFont val="Times New Roman"/>
        <family val="1"/>
      </rPr>
      <t>(inc. primer)</t>
    </r>
  </si>
  <si>
    <r>
      <t>"Effective" F.G.</t>
    </r>
    <r>
      <rPr>
        <sz val="10"/>
        <color indexed="10"/>
        <rFont val="Times New Roman"/>
        <family val="1"/>
      </rPr>
      <t xml:space="preserve"> (inc. primer)</t>
    </r>
  </si>
  <si>
    <r>
      <t>% Alcohol</t>
    </r>
    <r>
      <rPr>
        <sz val="10"/>
        <color indexed="10"/>
        <rFont val="Times New Roman"/>
        <family val="1"/>
      </rPr>
      <t xml:space="preserve"> </t>
    </r>
    <r>
      <rPr>
        <sz val="10"/>
        <color indexed="17"/>
        <rFont val="Times New Roman"/>
        <family val="1"/>
      </rPr>
      <t>(exc. primer)</t>
    </r>
  </si>
  <si>
    <r>
      <t>% Alcohol</t>
    </r>
    <r>
      <rPr>
        <sz val="10"/>
        <color indexed="10"/>
        <rFont val="Times New Roman"/>
        <family val="1"/>
      </rPr>
      <t xml:space="preserve"> (inc. primer)</t>
    </r>
  </si>
  <si>
    <r>
      <t xml:space="preserve">Carbonation </t>
    </r>
    <r>
      <rPr>
        <sz val="10"/>
        <color indexed="17"/>
        <rFont val="Times New Roman"/>
        <family val="1"/>
      </rPr>
      <t>(exc. primer)</t>
    </r>
  </si>
  <si>
    <r>
      <t xml:space="preserve">Carbonation </t>
    </r>
    <r>
      <rPr>
        <sz val="10"/>
        <color indexed="10"/>
        <rFont val="Times New Roman"/>
        <family val="1"/>
      </rPr>
      <t>(inc. primer)</t>
    </r>
  </si>
  <si>
    <r>
      <t>Total "sugars"</t>
    </r>
    <r>
      <rPr>
        <sz val="10"/>
        <color indexed="55"/>
        <rFont val="Times New Roman"/>
        <family val="1"/>
      </rPr>
      <t xml:space="preserve"> </t>
    </r>
    <r>
      <rPr>
        <sz val="10"/>
        <color indexed="45"/>
        <rFont val="Times New Roman"/>
        <family val="1"/>
      </rPr>
      <t>(inc. primer)</t>
    </r>
  </si>
  <si>
    <t>Bitterness EBU</t>
  </si>
  <si>
    <t>(Coloured malts/hops only in the boil - METHOD 2)</t>
  </si>
  <si>
    <t>Invert sugar - cane equiv.</t>
  </si>
  <si>
    <t>O.G. (exc. priming sugar)</t>
  </si>
  <si>
    <t>F.G. (exc. priming sugar)</t>
  </si>
  <si>
    <t>O.G. (inc. priming sugar)</t>
  </si>
  <si>
    <t>F.G. (inc. priming sugar)</t>
  </si>
  <si>
    <t>EXTRACT</t>
  </si>
  <si>
    <t>FERMENT-</t>
  </si>
  <si>
    <t>COLOUR</t>
  </si>
  <si>
    <t>ABILITY</t>
  </si>
  <si>
    <t>Pale malt</t>
  </si>
  <si>
    <t>This is mainly for diabetes suffers. All figures are approximate.</t>
  </si>
  <si>
    <r>
      <t>CALORIE/UNIT COUNTER</t>
    </r>
    <r>
      <rPr>
        <b/>
        <sz val="9"/>
        <rFont val="Times New Roman"/>
        <family val="1"/>
      </rPr>
      <t/>
    </r>
  </si>
  <si>
    <t>The hop calculations use the Glenn Tinseth method for loose, whole hops. If the hops are used in a mesh bag, use about 10% more. When using hop pellets, use about 10% fewer.</t>
  </si>
  <si>
    <t>Mild Ale malt</t>
  </si>
  <si>
    <t>Lager malt (Pilsner)</t>
  </si>
  <si>
    <t>Extract (wet -light)</t>
  </si>
  <si>
    <t>Extract (dry - light)</t>
  </si>
  <si>
    <t>Flaked barley</t>
  </si>
  <si>
    <t>Flaked maize</t>
  </si>
  <si>
    <t>Copy</t>
  </si>
  <si>
    <t>DO NOT copy</t>
  </si>
  <si>
    <t>USEABLE</t>
  </si>
  <si>
    <t>Amber malt</t>
  </si>
  <si>
    <t>Brown malt</t>
  </si>
  <si>
    <t>Munich malt</t>
  </si>
  <si>
    <t xml:space="preserve">     "Base" malts - mashing required</t>
  </si>
  <si>
    <t xml:space="preserve">      (assume 100% max unless otherwise stated)</t>
  </si>
  <si>
    <t>Vienna malt</t>
  </si>
  <si>
    <t>Wheat malt</t>
  </si>
  <si>
    <t>Other</t>
  </si>
  <si>
    <t>Extract (wet -extra light)</t>
  </si>
  <si>
    <t>Extract (wet -amber/medium)</t>
  </si>
  <si>
    <t>Extract (wet -dark)</t>
  </si>
  <si>
    <t>Extract (wet -wheat)</t>
  </si>
  <si>
    <t>Initial must acidity =</t>
  </si>
  <si>
    <t>Final must acidity =</t>
  </si>
  <si>
    <t>Must tannin =</t>
  </si>
  <si>
    <t>Extract (dry - extra light)</t>
  </si>
  <si>
    <t>Extract (dry - medium)</t>
  </si>
  <si>
    <t>Extract (dry - dark)</t>
  </si>
  <si>
    <t>Extract (dry - extra dark)</t>
  </si>
  <si>
    <t>Extract (dry - wheat)</t>
  </si>
  <si>
    <t>Caramalt</t>
  </si>
  <si>
    <t>Carapils</t>
  </si>
  <si>
    <t>Brown sugar (medium)</t>
  </si>
  <si>
    <t>Brown sugar (dark)</t>
  </si>
  <si>
    <t xml:space="preserve">     Sugars/syrups - no mashing required</t>
  </si>
  <si>
    <t xml:space="preserve">Malto-dextrin </t>
  </si>
  <si>
    <t xml:space="preserve">      (assume 30% max unless otherwise stated)</t>
  </si>
  <si>
    <t>Barley syrup</t>
  </si>
  <si>
    <t>Glucose (maize) syrup</t>
  </si>
  <si>
    <t>Maltose (maize) syrup</t>
  </si>
  <si>
    <t>Flaked rice</t>
  </si>
  <si>
    <t xml:space="preserve">Flaked/Torrified barley </t>
  </si>
  <si>
    <t>Oats</t>
  </si>
  <si>
    <t xml:space="preserve">     Adjuncts - need mashing with base malts</t>
  </si>
  <si>
    <t>Torrified wheat</t>
  </si>
  <si>
    <t xml:space="preserve">      (assume 10% max unless otherwise stated)</t>
  </si>
  <si>
    <t xml:space="preserve">Wheat flakes </t>
  </si>
  <si>
    <t>Wheat flour</t>
  </si>
  <si>
    <t>Wheat malt/Malted wheat</t>
  </si>
  <si>
    <t>Invert sugars - SOLID</t>
  </si>
  <si>
    <t>min</t>
  </si>
  <si>
    <t>max</t>
  </si>
  <si>
    <t>Inv. sugar No. 1 dry</t>
  </si>
  <si>
    <t>Inv. sugar No. 2 dry</t>
  </si>
  <si>
    <t>Inv. sugar No. 3 dry</t>
  </si>
  <si>
    <t>Boil vol. (litres)</t>
  </si>
  <si>
    <t>Boil time (mins)</t>
  </si>
  <si>
    <t>Inv. sugar No. 4 dry</t>
  </si>
  <si>
    <t>Invert sugars - LIQUID</t>
  </si>
  <si>
    <t>No. 1</t>
  </si>
  <si>
    <t>No. 2</t>
  </si>
  <si>
    <t>No. 3</t>
  </si>
  <si>
    <t>No. 4</t>
  </si>
  <si>
    <t>The darker a beer, the harder it is to estimate or discern its colour.</t>
  </si>
  <si>
    <t>When brewing dark beers, the colour extract efficiency reduces &amp; so calculation errors increase.</t>
  </si>
  <si>
    <t>DME</t>
  </si>
  <si>
    <t>Added bitterness (EBU)</t>
  </si>
  <si>
    <r>
      <t>Dextrose Monohydrate</t>
    </r>
    <r>
      <rPr>
        <sz val="5.5"/>
        <rFont val="Times New Roman"/>
        <family val="1"/>
      </rPr>
      <t xml:space="preserve"> (Brew./candi sugar)</t>
    </r>
  </si>
  <si>
    <t>Brewers Gold</t>
  </si>
  <si>
    <t>Tettnang</t>
  </si>
  <si>
    <t>Weight Converters</t>
  </si>
  <si>
    <t>Approximate Totals (g)</t>
  </si>
  <si>
    <r>
      <t>Wt.</t>
    </r>
    <r>
      <rPr>
        <sz val="9"/>
        <rFont val="Times New Roman"/>
        <family val="1"/>
      </rPr>
      <t xml:space="preserve"> </t>
    </r>
    <r>
      <rPr>
        <sz val="10"/>
        <rFont val="Times New Roman"/>
        <family val="1"/>
      </rPr>
      <t>g</t>
    </r>
  </si>
  <si>
    <r>
      <t>Wt</t>
    </r>
    <r>
      <rPr>
        <sz val="7"/>
        <rFont val="Times New Roman"/>
        <family val="1"/>
      </rPr>
      <t xml:space="preserve">. </t>
    </r>
    <r>
      <rPr>
        <sz val="10"/>
        <rFont val="Times New Roman"/>
        <family val="1"/>
      </rPr>
      <t>oz</t>
    </r>
  </si>
  <si>
    <t>Wt.</t>
  </si>
  <si>
    <t>Wt. g</t>
  </si>
  <si>
    <t>1Kg = 0.4536 lb</t>
  </si>
  <si>
    <t>% ABW</t>
  </si>
  <si>
    <t>Yeast efficiency % (attenuation)</t>
  </si>
  <si>
    <t>Initial vol. (litres)</t>
  </si>
  <si>
    <t>Copyright Peter J. Laycock 28~10~'7</t>
  </si>
  <si>
    <t>Wt</t>
  </si>
  <si>
    <t>Acid</t>
  </si>
  <si>
    <t>g</t>
  </si>
  <si>
    <t>%</t>
  </si>
  <si>
    <t>Invert sugar/cane equiv.</t>
  </si>
  <si>
    <t>Priming sugar</t>
  </si>
  <si>
    <t xml:space="preserve"> tablet(s) Vit. B comp. give(s) a total of</t>
  </si>
  <si>
    <t>IMPERIAL</t>
  </si>
  <si>
    <t>hop bitterness</t>
  </si>
  <si>
    <t>OTHER</t>
  </si>
  <si>
    <t>ml</t>
  </si>
  <si>
    <t>litres</t>
  </si>
  <si>
    <t>% ABV (approx)</t>
  </si>
  <si>
    <t>% ABV</t>
  </si>
  <si>
    <t>Note:- All Governments can ruin your health &amp; wealth!</t>
  </si>
  <si>
    <t>Dry</t>
  </si>
  <si>
    <t>www.petespintpot.co.uk</t>
  </si>
  <si>
    <t xml:space="preserve">Check for the latest version on </t>
  </si>
  <si>
    <t>www.yobrew.co.uk</t>
  </si>
  <si>
    <t xml:space="preserve"> To amend/modify any data, please refer to the "Technical Section".</t>
  </si>
  <si>
    <t>ALCOHOL</t>
  </si>
  <si>
    <t>ACIDITY</t>
  </si>
  <si>
    <t>TANNIN</t>
  </si>
  <si>
    <t>wt hop</t>
  </si>
  <si>
    <t xml:space="preserve">www.petespintpot.co.uk </t>
  </si>
  <si>
    <t>Vol. 1</t>
  </si>
  <si>
    <t>Vol. 2</t>
  </si>
  <si>
    <t>SUMMARY FOR</t>
  </si>
  <si>
    <t>OR</t>
  </si>
  <si>
    <t>Check for the latest version on</t>
  </si>
  <si>
    <t>Ave.</t>
  </si>
  <si>
    <t>Low</t>
  </si>
  <si>
    <t>High</t>
  </si>
  <si>
    <t>Value</t>
  </si>
  <si>
    <t>Temp</t>
  </si>
  <si>
    <t>°C</t>
  </si>
  <si>
    <t>CO2</t>
  </si>
  <si>
    <t>Deg</t>
  </si>
  <si>
    <t>Lagers (US &amp; Euro.)</t>
  </si>
  <si>
    <t>Lagers (Australian)</t>
  </si>
  <si>
    <t>wt</t>
  </si>
  <si>
    <t>Volume Converters</t>
  </si>
  <si>
    <t>Litre</t>
  </si>
  <si>
    <t>Default</t>
  </si>
  <si>
    <t>settings</t>
  </si>
  <si>
    <t>User</t>
  </si>
  <si>
    <t>Atten malt</t>
  </si>
  <si>
    <t>Atten sug</t>
  </si>
  <si>
    <r>
      <t>Disclaimer</t>
    </r>
    <r>
      <rPr>
        <sz val="8"/>
        <color indexed="23"/>
        <rFont val="Times New Roman"/>
        <family val="1"/>
      </rPr>
      <t>: No responsibility is assumed or implied as a result of using this spreadsheet.</t>
    </r>
  </si>
  <si>
    <t>Iso-hop extract</t>
  </si>
  <si>
    <t xml:space="preserve">Additional help supplied by Andy of </t>
  </si>
  <si>
    <t>www.colchesterhomebrew.co.uk</t>
  </si>
  <si>
    <t>HIDE hops</t>
  </si>
  <si>
    <t>Hide</t>
  </si>
  <si>
    <t>k</t>
  </si>
  <si>
    <t>Figures used in all calculations</t>
  </si>
  <si>
    <t>Vol.</t>
  </si>
  <si>
    <t>Wet</t>
  </si>
  <si>
    <t>Extract Efficiency</t>
  </si>
  <si>
    <t>%  (Used for roasted malts - 75% nominally)</t>
  </si>
  <si>
    <t>Brewing/resting temp</t>
  </si>
  <si>
    <t>Malt Extract</t>
  </si>
  <si>
    <t>Sugar added at</t>
  </si>
  <si>
    <t>Hops</t>
  </si>
  <si>
    <t>Extract</t>
  </si>
  <si>
    <t>Ferment-</t>
  </si>
  <si>
    <t>Colour</t>
  </si>
  <si>
    <t>Bitterness</t>
  </si>
  <si>
    <t>DEG</t>
  </si>
  <si>
    <t>Atten.</t>
  </si>
  <si>
    <t>% Wt</t>
  </si>
  <si>
    <t>Sugars</t>
  </si>
  <si>
    <t>end of the boil.</t>
  </si>
  <si>
    <t>start of the boil.</t>
  </si>
  <si>
    <t>°/Kg/l.</t>
  </si>
  <si>
    <t>ability</t>
  </si>
  <si>
    <t>EBC</t>
  </si>
  <si>
    <t>EBU</t>
  </si>
  <si>
    <t>1st hop</t>
  </si>
  <si>
    <t>2nd hop</t>
  </si>
  <si>
    <t>3rd hop</t>
  </si>
  <si>
    <t>Separately</t>
  </si>
  <si>
    <t>Brambling Cross</t>
  </si>
  <si>
    <t>Bullion</t>
  </si>
  <si>
    <t>Challenger</t>
  </si>
  <si>
    <t>EKG</t>
  </si>
  <si>
    <t>Fuggles</t>
  </si>
  <si>
    <t>Goldings (Worc.)</t>
  </si>
  <si>
    <t>North Brewer</t>
  </si>
  <si>
    <t>Northdown</t>
  </si>
  <si>
    <t>Progress</t>
  </si>
  <si>
    <t>Saaz</t>
  </si>
  <si>
    <t>Styrian Goldings</t>
  </si>
  <si>
    <t>HIDE</t>
  </si>
  <si>
    <t>Target</t>
  </si>
  <si>
    <t>Tetnanger</t>
  </si>
  <si>
    <t>WGV</t>
  </si>
  <si>
    <t>Other (1)</t>
  </si>
  <si>
    <t>Other (2)</t>
  </si>
  <si>
    <t>Boil time</t>
  </si>
  <si>
    <t>Boil bitterness</t>
  </si>
  <si>
    <t>Coloured Malts</t>
  </si>
  <si>
    <t>% Utilization</t>
  </si>
  <si>
    <t>Initial vol. (litres) =</t>
  </si>
  <si>
    <t>Bitterness (EBU)</t>
  </si>
  <si>
    <t>Total</t>
  </si>
  <si>
    <t>Total wts</t>
  </si>
  <si>
    <t>Yeast used</t>
  </si>
  <si>
    <t>Ale</t>
  </si>
  <si>
    <t>Check</t>
  </si>
  <si>
    <t>Denotes an "editable" cell, add your own data.</t>
  </si>
  <si>
    <t>OG</t>
  </si>
  <si>
    <t>No primer</t>
  </si>
  <si>
    <t>FG</t>
  </si>
  <si>
    <t>Primer</t>
  </si>
  <si>
    <t>Col</t>
  </si>
  <si>
    <t>Bitter</t>
  </si>
  <si>
    <t>(For details, see the "Extract Calc.")</t>
  </si>
  <si>
    <t>Free to use - Not for sale.</t>
  </si>
  <si>
    <t>FIGURES USED IN ABOVE CALCULATOR. (All are editable.)</t>
  </si>
  <si>
    <t>WET - UNHOPPED</t>
  </si>
  <si>
    <t>Extra Light</t>
  </si>
  <si>
    <t>Light</t>
  </si>
  <si>
    <t>Amber</t>
  </si>
  <si>
    <t>Dark</t>
  </si>
  <si>
    <t>Extra dark</t>
  </si>
  <si>
    <t>Wheat (55%)</t>
  </si>
  <si>
    <t>WET - HOPPED</t>
  </si>
  <si>
    <t>DRY - UNHOPPED</t>
  </si>
  <si>
    <t>Medium</t>
  </si>
  <si>
    <t>DRY - HOPPED</t>
  </si>
  <si>
    <t>useable</t>
  </si>
  <si>
    <t>EFFIC. %</t>
  </si>
  <si>
    <t>Max #</t>
  </si>
  <si>
    <t>Black</t>
  </si>
  <si>
    <t>Chocolate</t>
  </si>
  <si>
    <t>Crystal (light)</t>
  </si>
  <si>
    <t>Vegetables are assumed to be boiled separately &amp; then stained out hence no wastage is allowed for.</t>
  </si>
  <si>
    <t>Crystal (medium)</t>
  </si>
  <si>
    <t>Crystal (dark)</t>
  </si>
  <si>
    <t>Roast barley</t>
  </si>
  <si>
    <t>Cane sugar</t>
  </si>
  <si>
    <t>Brown sugar (light)</t>
  </si>
  <si>
    <t>Invert sugar</t>
  </si>
  <si>
    <t>Lactose</t>
  </si>
  <si>
    <r>
      <t>Sugars</t>
    </r>
    <r>
      <rPr>
        <sz val="10"/>
        <color indexed="55"/>
        <rFont val="Times New Roman"/>
        <family val="1"/>
      </rPr>
      <t xml:space="preserve"> </t>
    </r>
    <r>
      <rPr>
        <sz val="9"/>
        <color indexed="55"/>
        <rFont val="Times New Roman"/>
        <family val="1"/>
      </rPr>
      <t>(30% max.)</t>
    </r>
  </si>
  <si>
    <t>US Gall</t>
  </si>
  <si>
    <t>UK Gall</t>
  </si>
  <si>
    <t>hide</t>
  </si>
  <si>
    <t>Weight</t>
  </si>
  <si>
    <t>DEG/K/L</t>
  </si>
  <si>
    <t>FERMENT</t>
  </si>
  <si>
    <t>LME</t>
  </si>
  <si>
    <t>Units</t>
  </si>
  <si>
    <t>Malt</t>
  </si>
  <si>
    <t>m</t>
  </si>
  <si>
    <t>lb</t>
  </si>
  <si>
    <t>Kg</t>
  </si>
  <si>
    <t>BMI Calculator</t>
  </si>
  <si>
    <t>METRIC</t>
  </si>
  <si>
    <t>ft</t>
  </si>
  <si>
    <t>in</t>
  </si>
  <si>
    <t>Height</t>
  </si>
  <si>
    <t>st</t>
  </si>
  <si>
    <t>TECHNICAL SECTION</t>
  </si>
  <si>
    <t>To amend/modify any data, please refer to the "Technical Section".</t>
  </si>
  <si>
    <r>
      <t>For juices/drinks containing puréed fruit, allowances should be made in the "</t>
    </r>
    <r>
      <rPr>
        <sz val="10"/>
        <rFont val="Times New Roman"/>
        <family val="1"/>
      </rPr>
      <t>Assumed Waste</t>
    </r>
    <r>
      <rPr>
        <sz val="10"/>
        <color indexed="10"/>
        <rFont val="Times New Roman"/>
        <family val="1"/>
      </rPr>
      <t>" column, say 1% per every 1% purée as a starting point.</t>
    </r>
  </si>
  <si>
    <t xml:space="preserve">     Caramelized malts - no mashing required</t>
  </si>
  <si>
    <t xml:space="preserve">▼ DO NOT USE ALUMINIUM utensils with RHUBARB as the acids present in this vegetable will react with these &amp; may ultimately lead to Alzheimer's disease. </t>
  </si>
  <si>
    <t>Approx sweetening sugar (g/750ml)</t>
  </si>
  <si>
    <t>0-8.3</t>
  </si>
  <si>
    <t>22-33</t>
  </si>
  <si>
    <t>33-43</t>
  </si>
  <si>
    <t>43-52</t>
  </si>
  <si>
    <t>52+</t>
  </si>
  <si>
    <t>Dry/1</t>
  </si>
  <si>
    <t>Medium Dry/2</t>
  </si>
  <si>
    <t>Medium/3</t>
  </si>
  <si>
    <t>Med. Sweet/4</t>
  </si>
  <si>
    <t>Sweet/5</t>
  </si>
  <si>
    <t>Desert/6</t>
  </si>
  <si>
    <t>Style/Approx. Commercial equiv.</t>
  </si>
  <si>
    <t>°F</t>
  </si>
  <si>
    <t>METHOD 1</t>
  </si>
  <si>
    <t>Original Gravity</t>
  </si>
  <si>
    <t>Final Gravity</t>
  </si>
  <si>
    <t>METHOD 2</t>
  </si>
  <si>
    <t>Hops boiled with</t>
  </si>
  <si>
    <t>"coloured malts" only.</t>
  </si>
  <si>
    <t>end of the boil (1a).</t>
  </si>
  <si>
    <t>start of the boil (1b).</t>
  </si>
  <si>
    <t>Malts etc.</t>
  </si>
  <si>
    <t>% sug</t>
  </si>
  <si>
    <t>Fruit juices</t>
  </si>
  <si>
    <t>Tinned fruit</t>
  </si>
  <si>
    <t>Please read the "Disclaimer" before using this spreadsheet.</t>
  </si>
  <si>
    <t>"Stone"</t>
  </si>
  <si>
    <t>Usable</t>
  </si>
  <si>
    <t>Acid*</t>
  </si>
  <si>
    <t>Water</t>
  </si>
  <si>
    <t>Cooking</t>
  </si>
  <si>
    <t>Factor</t>
  </si>
  <si>
    <t>Added ml</t>
  </si>
  <si>
    <t>Time (min)</t>
  </si>
  <si>
    <t>Ripe</t>
  </si>
  <si>
    <t>Under-ripe</t>
  </si>
  <si>
    <t>60+</t>
  </si>
  <si>
    <t>35+</t>
  </si>
  <si>
    <t>20+</t>
  </si>
  <si>
    <t>25+</t>
  </si>
  <si>
    <t>LITCHI</t>
  </si>
  <si>
    <t>Flesh</t>
  </si>
  <si>
    <t>30+</t>
  </si>
  <si>
    <t>PAPAYA</t>
  </si>
  <si>
    <t>75+</t>
  </si>
  <si>
    <t>PERSIMMON (Sharon Fruit)</t>
  </si>
  <si>
    <t>10+</t>
  </si>
  <si>
    <t>OTHER 1</t>
  </si>
  <si>
    <t>OTHER 2</t>
  </si>
  <si>
    <t>OTHER 3</t>
  </si>
  <si>
    <t>OTHER 4</t>
  </si>
  <si>
    <t>SUGAR CALCULATED</t>
  </si>
  <si>
    <t>WATER CALCULATED</t>
  </si>
  <si>
    <t>ALWAYS WORK ON A COPY OF THIS SPREADSHEET</t>
  </si>
  <si>
    <t>PECTIN ADDED (Powder)</t>
  </si>
  <si>
    <t>TOTAL ACID</t>
  </si>
  <si>
    <t>TOTAL PECTIN</t>
  </si>
  <si>
    <t>Insert your own figures in the green boxes.</t>
  </si>
  <si>
    <t>USER/RECIPE NOTES:-</t>
  </si>
  <si>
    <t>Jam Calculator</t>
  </si>
  <si>
    <t>As it says on the jar!</t>
  </si>
  <si>
    <t>ml (approx.)</t>
  </si>
  <si>
    <r>
      <t>Hop formula
The following info is derived from Glenn Tinseth’s web site.
The bitterness of a beer is a function of the wort gravity (G) &amp; the boil time (T).
% Hop utilization = f(G) x f(T)
Where
f(G) = 1.65 x 0.000125^(0.001Gb - 1000) &amp;
f(T) = [1 – e-^(</t>
    </r>
    <r>
      <rPr>
        <b/>
        <u/>
        <sz val="10"/>
        <color indexed="10"/>
        <rFont val="Times New Roman"/>
        <family val="1"/>
      </rPr>
      <t>0.04t</t>
    </r>
    <r>
      <rPr>
        <sz val="10"/>
        <rFont val="Times New Roman"/>
        <family val="1"/>
      </rPr>
      <t xml:space="preserve">)] / </t>
    </r>
    <r>
      <rPr>
        <b/>
        <u/>
        <sz val="10"/>
        <color indexed="10"/>
        <rFont val="Times New Roman"/>
        <family val="1"/>
      </rPr>
      <t>4.15</t>
    </r>
    <r>
      <rPr>
        <sz val="10"/>
        <rFont val="Times New Roman"/>
        <family val="1"/>
      </rPr>
      <t xml:space="preserve">
The numbers 1.65 &amp; 0.0125 in f(G) were empirically derived to fit the boil gravity (Gb) analysis data. In the f(T) equation, the number </t>
    </r>
    <r>
      <rPr>
        <b/>
        <u/>
        <sz val="10"/>
        <color indexed="10"/>
        <rFont val="Times New Roman"/>
        <family val="1"/>
      </rPr>
      <t>0.04</t>
    </r>
    <r>
      <rPr>
        <sz val="10"/>
        <rFont val="Times New Roman"/>
        <family val="1"/>
      </rPr>
      <t xml:space="preserve"> controls the shape of the utilization vs. time curve. The factor </t>
    </r>
    <r>
      <rPr>
        <b/>
        <u/>
        <sz val="10"/>
        <color indexed="10"/>
        <rFont val="Times New Roman"/>
        <family val="1"/>
      </rPr>
      <t>4.15</t>
    </r>
    <r>
      <rPr>
        <sz val="10"/>
        <rFont val="Times New Roman"/>
        <family val="1"/>
      </rPr>
      <t xml:space="preserve"> controls the maximum utilization value. This number may be adjusted to customize the curves to suit your own system. If you feel that you have a very vigorous boil or generally get more utilization from a given boil time or for any reason, you can reduce the number a small amount to 4 or 3.9. Likewise if you think that you are getting less utilization, then you can increase it by 1 or 2 tenths. Doing so will increase or decrease the utilization value for each time &amp; gravity in the table.
So, to alter the hop utilisation calculation, just modify the settings gives below.
Hop formula variables:-</t>
    </r>
  </si>
  <si>
    <t>Boil Gravity</t>
  </si>
  <si>
    <t>fg = og - atten (malt + sug)</t>
  </si>
  <si>
    <t>Additional help supplied by David at</t>
  </si>
  <si>
    <t>&amp; David at</t>
  </si>
  <si>
    <t>david.barrow@live.co.uk</t>
  </si>
  <si>
    <t>Honey (1 lb = 454g)</t>
  </si>
  <si>
    <t xml:space="preserve"> </t>
  </si>
  <si>
    <t>UK Pt.</t>
  </si>
  <si>
    <t>US Pt.</t>
  </si>
  <si>
    <t>General Converters</t>
  </si>
  <si>
    <t>Wine Calculator</t>
  </si>
  <si>
    <t>Also used for calculating cider, meads etc.</t>
  </si>
  <si>
    <t>Summary for Finished Wine</t>
  </si>
  <si>
    <t>Typical Wine Parameters</t>
  </si>
  <si>
    <t>Calorie/unit counter.</t>
  </si>
  <si>
    <t>Priming Ciders &amp; Sparkling Wines</t>
  </si>
  <si>
    <t>Sugar Solutions (Syrups)</t>
  </si>
  <si>
    <t>Fortifying Wines</t>
  </si>
  <si>
    <t>Summary for Finished Beer</t>
  </si>
  <si>
    <t>Sugar (granulated)</t>
  </si>
  <si>
    <t>No information available, value "guessed".</t>
  </si>
  <si>
    <t>Thiamine</t>
  </si>
  <si>
    <t>Niacin</t>
  </si>
  <si>
    <t>Pantothenic acid</t>
  </si>
  <si>
    <t>Stuff which may be ignored.</t>
  </si>
  <si>
    <t>Mineral mg/100g</t>
  </si>
  <si>
    <t>Assumed</t>
  </si>
  <si>
    <t>VEG.</t>
  </si>
  <si>
    <t>Sugar</t>
  </si>
  <si>
    <t>Tannin</t>
  </si>
  <si>
    <t>"Carbs"</t>
  </si>
  <si>
    <t>Pectin</t>
  </si>
  <si>
    <t>N (nit)</t>
  </si>
  <si>
    <t>K (pot)</t>
  </si>
  <si>
    <t>B1</t>
  </si>
  <si>
    <t>B3</t>
  </si>
  <si>
    <t>B5</t>
  </si>
  <si>
    <t>B6</t>
  </si>
  <si>
    <t>N</t>
  </si>
  <si>
    <t>K</t>
  </si>
  <si>
    <t>Ca</t>
  </si>
  <si>
    <t>Mg</t>
  </si>
  <si>
    <t>P</t>
  </si>
  <si>
    <t>P (ph)</t>
  </si>
  <si>
    <t>BEETROOT</t>
  </si>
  <si>
    <t>CARROT</t>
  </si>
  <si>
    <t>CELERY</t>
  </si>
  <si>
    <t>MARROW</t>
  </si>
  <si>
    <t>PARSNIP</t>
  </si>
  <si>
    <t>POTATO</t>
  </si>
  <si>
    <t xml:space="preserve">OTHER </t>
  </si>
  <si>
    <t>FRUIT</t>
  </si>
  <si>
    <t>Main</t>
  </si>
  <si>
    <t>Acid* is expressed as the equivalent amount of tartaric acid.</t>
  </si>
  <si>
    <t>Waste</t>
  </si>
  <si>
    <t>Isomerised hop extract</t>
  </si>
  <si>
    <t>Units of alcohol (UK)</t>
  </si>
  <si>
    <t>ml alcohol</t>
  </si>
  <si>
    <t>in only</t>
  </si>
  <si>
    <t>jamesbsmith@hotmail.com.</t>
  </si>
  <si>
    <t xml:space="preserve">fl oz </t>
  </si>
  <si>
    <t>acid</t>
  </si>
  <si>
    <t>APPLE</t>
  </si>
  <si>
    <t>COOK</t>
  </si>
  <si>
    <t>M</t>
  </si>
  <si>
    <t>Acid Comparator</t>
  </si>
  <si>
    <t>EAT</t>
  </si>
  <si>
    <t>Citric</t>
  </si>
  <si>
    <t>Malic</t>
  </si>
  <si>
    <t>Sulph.</t>
  </si>
  <si>
    <t>CRAB</t>
  </si>
  <si>
    <t>APRICOT</t>
  </si>
  <si>
    <t>FLESH</t>
  </si>
  <si>
    <t>DRIED</t>
  </si>
  <si>
    <t>BANANA</t>
  </si>
  <si>
    <t>BILBERRY</t>
  </si>
  <si>
    <t>BLACKBERRY</t>
  </si>
  <si>
    <t>C/M</t>
  </si>
  <si>
    <t>BLACKCURRANT</t>
  </si>
  <si>
    <t>BLUEBERRY</t>
  </si>
  <si>
    <t>CHERRY</t>
  </si>
  <si>
    <t>BLACK</t>
  </si>
  <si>
    <t>RED</t>
  </si>
  <si>
    <t>CRANBERRY</t>
  </si>
  <si>
    <t>DAMSON</t>
  </si>
  <si>
    <t>DATE</t>
  </si>
  <si>
    <t>ELDERBERRY</t>
  </si>
  <si>
    <t>JUICE</t>
  </si>
  <si>
    <t>FIGS</t>
  </si>
  <si>
    <t>GOOSEBERRY</t>
  </si>
  <si>
    <t>GRAPE</t>
  </si>
  <si>
    <t>NO SKIN</t>
  </si>
  <si>
    <t>T</t>
  </si>
  <si>
    <t>SKIN</t>
  </si>
  <si>
    <t>GRAPE JUICE</t>
  </si>
  <si>
    <t>WHITE</t>
  </si>
  <si>
    <t>GRAPE CONC.</t>
  </si>
  <si>
    <t xml:space="preserve">Note the change of units </t>
  </si>
  <si>
    <t>GRAPEFRUIT</t>
  </si>
  <si>
    <t>GREENGAGE</t>
  </si>
  <si>
    <t>GUAVA</t>
  </si>
  <si>
    <t>KIWIFRUIT</t>
  </si>
  <si>
    <t>LEMON</t>
  </si>
  <si>
    <t>LITCHI (LYCHEE)</t>
  </si>
  <si>
    <t>LOGANBERRY</t>
  </si>
  <si>
    <t>MANGO</t>
  </si>
  <si>
    <t>MEDLAR</t>
  </si>
  <si>
    <t>MELON</t>
  </si>
  <si>
    <t>MULBERRY</t>
  </si>
  <si>
    <t>NECTARINE</t>
  </si>
  <si>
    <t>ORANGE</t>
  </si>
  <si>
    <t>PAPAYA (Pawpaw)</t>
  </si>
  <si>
    <t>PASSION FRUIT</t>
  </si>
  <si>
    <t>PEACH</t>
  </si>
  <si>
    <t>PEAR</t>
  </si>
  <si>
    <t>PINEAPPLE</t>
  </si>
  <si>
    <t>PLUM</t>
  </si>
  <si>
    <t>PRUNES</t>
  </si>
  <si>
    <t>QUINCE</t>
  </si>
  <si>
    <t>RAIS/SULT/CURR.</t>
  </si>
  <si>
    <t>RASPBERRY</t>
  </si>
  <si>
    <t>REDCURRANT</t>
  </si>
  <si>
    <t>RHUBARB</t>
  </si>
  <si>
    <t>SLOE</t>
  </si>
  <si>
    <t>STRAWBERRY</t>
  </si>
  <si>
    <t>TANGERINE</t>
  </si>
  <si>
    <t>WATERMELON</t>
  </si>
  <si>
    <t>WHITECURRANT</t>
  </si>
  <si>
    <t>TINS</t>
  </si>
  <si>
    <t>(Check labels for sugar content)</t>
  </si>
  <si>
    <t>g/100g</t>
  </si>
  <si>
    <t>APRICOTS</t>
  </si>
  <si>
    <t>FRUIT SALAD</t>
  </si>
  <si>
    <t>BLACK CHERRIES</t>
  </si>
  <si>
    <t>PEACHES</t>
  </si>
  <si>
    <t>PEARS</t>
  </si>
  <si>
    <t>STRAWBERRIES</t>
  </si>
  <si>
    <t>JUICES</t>
  </si>
  <si>
    <t>Vol</t>
  </si>
  <si>
    <t>(Check labels for sugar &amp; preservatives)</t>
  </si>
  <si>
    <t>g/100ml</t>
  </si>
  <si>
    <t>"FIVE ALIVE"</t>
  </si>
  <si>
    <t>RIBENA</t>
  </si>
  <si>
    <t>CONC.</t>
  </si>
  <si>
    <t>SUMMER FRUITS</t>
  </si>
  <si>
    <t>PRUNE</t>
  </si>
  <si>
    <t>SUGAR - ADDED</t>
  </si>
  <si>
    <t>(nom. 1300)</t>
  </si>
  <si>
    <t>SOD. BICARB  - ADDED (approx.)</t>
  </si>
  <si>
    <t>ACID - ADDED (approx.)</t>
  </si>
  <si>
    <t>TANNIN - ADDED (approx.)</t>
  </si>
  <si>
    <t xml:space="preserve">         Read the instructions on the packaging BEFORE adding.</t>
  </si>
  <si>
    <t xml:space="preserve">         Any data given for tannin is un-reliable, careful design of your recipes is much better than adding additional tanning.</t>
  </si>
  <si>
    <t>Total Nutrient &amp; Vitamin supplied by the "ingredients"</t>
  </si>
  <si>
    <t>mg</t>
  </si>
  <si>
    <t>mg/l N</t>
  </si>
  <si>
    <t>mg/l P</t>
  </si>
  <si>
    <t>mg/tab</t>
  </si>
  <si>
    <t>% juice (nom.75)</t>
  </si>
  <si>
    <t>Assume that rhubarb gives</t>
  </si>
  <si>
    <t>Sweetening sugar to be used</t>
  </si>
  <si>
    <t>Style</t>
  </si>
  <si>
    <t>Sweet</t>
  </si>
  <si>
    <t>&lt;998</t>
  </si>
  <si>
    <t>998-1005</t>
  </si>
  <si>
    <t>1005-1010</t>
  </si>
  <si>
    <t>1010-1015</t>
  </si>
  <si>
    <t>1015-1020</t>
  </si>
  <si>
    <t>1020+</t>
  </si>
  <si>
    <t>0-50</t>
  </si>
  <si>
    <t>50-130</t>
  </si>
  <si>
    <t>130-200</t>
  </si>
  <si>
    <t>200-260</t>
  </si>
  <si>
    <t>260-310</t>
  </si>
  <si>
    <t>310+</t>
  </si>
  <si>
    <t xml:space="preserve">FINAL BOTTLED VOLUME </t>
  </si>
  <si>
    <t>Assume a "wastage" vol. of</t>
  </si>
  <si>
    <t>Calculated "topping-up" water =</t>
  </si>
  <si>
    <t>Assume ingredient "wastage" vol. of</t>
  </si>
  <si>
    <t>ml (for solid ingredients)</t>
  </si>
  <si>
    <t>Giving a design must volume of</t>
  </si>
  <si>
    <t>litres excl. any sweetening sugar.</t>
  </si>
  <si>
    <t>ACTUAL MUST VOLUME USED</t>
  </si>
  <si>
    <t>litres after fermentation &amp; racking.</t>
  </si>
  <si>
    <t>ACTUAL MUST O.G.</t>
  </si>
  <si>
    <t>ACTUAL MUST F.G.</t>
  </si>
  <si>
    <t xml:space="preserve">WINE TYPE </t>
  </si>
  <si>
    <t xml:space="preserve">DRY WHITE TABLE </t>
  </si>
  <si>
    <t>DRY RED TABLE</t>
  </si>
  <si>
    <t>ROSÉ TABLE</t>
  </si>
  <si>
    <t xml:space="preserve">SWEET WHITE </t>
  </si>
  <si>
    <t xml:space="preserve">SWEET RED </t>
  </si>
  <si>
    <t>DESSERT (FRUIT)</t>
  </si>
  <si>
    <t xml:space="preserve">DESSERT (PORT) </t>
  </si>
  <si>
    <t>SUMMARY FOR FINISHED WINE</t>
  </si>
  <si>
    <t xml:space="preserve">Name:- </t>
  </si>
  <si>
    <t>O. G.</t>
  </si>
  <si>
    <t>% ALC ABV</t>
  </si>
  <si>
    <t xml:space="preserve">10-13 </t>
  </si>
  <si>
    <t>11-13</t>
  </si>
  <si>
    <t>11-12</t>
  </si>
  <si>
    <t xml:space="preserve">12-15 </t>
  </si>
  <si>
    <t>13-18</t>
  </si>
  <si>
    <t>17-20</t>
  </si>
  <si>
    <t>F. G. (Before sweetening)</t>
  </si>
  <si>
    <t xml:space="preserve">% ACID </t>
  </si>
  <si>
    <t>0.50-0.70</t>
  </si>
  <si>
    <t>0.50-0.65</t>
  </si>
  <si>
    <t>0.60-0.75</t>
  </si>
  <si>
    <t>0.50-0.75</t>
  </si>
  <si>
    <t>0.40-0.65</t>
  </si>
  <si>
    <t>0.55-0.65</t>
  </si>
  <si>
    <t>0.40-0.50</t>
  </si>
  <si>
    <t>F. G. (After sweetening)</t>
  </si>
  <si>
    <t>% TANNIN</t>
  </si>
  <si>
    <t xml:space="preserve">&lt;0.04 </t>
  </si>
  <si>
    <t xml:space="preserve">0.09-0.3 </t>
  </si>
  <si>
    <t xml:space="preserve">0.04-0.09 </t>
  </si>
  <si>
    <t>0.15-0.3</t>
  </si>
  <si>
    <t>0.2-0.3</t>
  </si>
  <si>
    <t>Volume</t>
  </si>
  <si>
    <t>STYLE</t>
  </si>
  <si>
    <t>Med. Dry</t>
  </si>
  <si>
    <t>Med.</t>
  </si>
  <si>
    <t xml:space="preserve">Med. Sweet </t>
  </si>
  <si>
    <t>Dessert</t>
  </si>
  <si>
    <r>
      <t>Disclaimer</t>
    </r>
    <r>
      <rPr>
        <sz val="10"/>
        <color indexed="23"/>
        <rFont val="Times New Roman"/>
        <family val="1"/>
      </rPr>
      <t xml:space="preserve">: </t>
    </r>
    <r>
      <rPr>
        <sz val="10"/>
        <rFont val="Times New Roman"/>
        <family val="1"/>
      </rPr>
      <t>No responsibility is assumed or implied as a result of using this spreadsheet.</t>
    </r>
  </si>
  <si>
    <t>Many good wines could possibly not fit within these limits, but beware of any recipes displaying vast differences.</t>
  </si>
  <si>
    <t>CALORIE/UNIT COUNTER</t>
  </si>
  <si>
    <t xml:space="preserve">  (Mainly for diabetes suffers. All figures are approximate.) See the</t>
  </si>
  <si>
    <t>For a bottle size of (ml)</t>
  </si>
  <si>
    <t>Giving a total of</t>
  </si>
  <si>
    <t>This assumes that</t>
  </si>
  <si>
    <t xml:space="preserve">ml iso-hop extract in </t>
  </si>
  <si>
    <t xml:space="preserve">litres gives </t>
  </si>
  <si>
    <t>ABV</t>
  </si>
  <si>
    <t>&amp;</t>
  </si>
  <si>
    <t>PRIMING CIDERS &amp; SPARKLING WINES</t>
  </si>
  <si>
    <t>To be used for UNSWEETENED ciders, meads &amp; sparkling wines ONLY.</t>
  </si>
  <si>
    <t>1 tsp sugar =</t>
  </si>
  <si>
    <t>PRIMING SUGAR</t>
  </si>
  <si>
    <t>Proof/ABV converters</t>
  </si>
  <si>
    <t>ABW/ABV converters</t>
  </si>
  <si>
    <t>carbs/serving (g)</t>
  </si>
  <si>
    <t>sugar/serving (g)</t>
  </si>
  <si>
    <t>Technical Section.</t>
  </si>
  <si>
    <t>OR, for a bottle sized</t>
  </si>
  <si>
    <t>Unit</t>
  </si>
  <si>
    <t>NOTE:- I would recommend 4 volumes is the absolute maximum for wines &amp; use 1.7-2.6 volumes generally for ciders.</t>
  </si>
  <si>
    <t>O. G. (After priming)</t>
  </si>
  <si>
    <t>F. G. (After priming)</t>
  </si>
  <si>
    <t>ALCOHOL (After priming.)</t>
  </si>
  <si>
    <t xml:space="preserve"> OR</t>
  </si>
  <si>
    <t>◄  These figures should be "0"  ►</t>
  </si>
  <si>
    <t>SUGAR SOLUTIONS (Syrups)</t>
  </si>
  <si>
    <t>Sugar solutions</t>
  </si>
  <si>
    <t>These tables can be used when making sugar solutions.</t>
  </si>
  <si>
    <t>Wt. Sugar</t>
  </si>
  <si>
    <t>Vol. water</t>
  </si>
  <si>
    <t>Final Vol.</t>
  </si>
  <si>
    <t>S. G.</t>
  </si>
  <si>
    <t>A gravity of about 1300 is a good practical guide.</t>
  </si>
  <si>
    <t>Figures are approximate &amp; are temperature dependant.</t>
  </si>
  <si>
    <t>FORTIFYING WINES</t>
  </si>
  <si>
    <t>Used in the "CALORIE/UNIT COUNTERS"</t>
  </si>
  <si>
    <t>Spirit % ABV</t>
  </si>
  <si>
    <t>SG (ave)</t>
  </si>
  <si>
    <t xml:space="preserve">Cals/g </t>
  </si>
  <si>
    <t xml:space="preserve">Carbs/g </t>
  </si>
  <si>
    <t>Wine % ABV</t>
  </si>
  <si>
    <t>Default settings</t>
  </si>
  <si>
    <t>Desired % ABV</t>
  </si>
  <si>
    <t>User settings</t>
  </si>
  <si>
    <t>Wine vol.</t>
  </si>
  <si>
    <t>Spirit vol. required</t>
  </si>
  <si>
    <t>Final fortified vol.</t>
  </si>
  <si>
    <t>Measured O.G.</t>
  </si>
  <si>
    <t>Measured F.G.</t>
  </si>
  <si>
    <t>Alcohol  % ABV</t>
  </si>
  <si>
    <t>Free for to use - Not for sale.</t>
  </si>
  <si>
    <t>Copyright Peter J. Laycock 28~10~'6</t>
  </si>
  <si>
    <r>
      <t>SOME TYPICAL WINE PARAMETERS</t>
    </r>
    <r>
      <rPr>
        <sz val="9"/>
        <color indexed="55"/>
        <rFont val="Times New Roman"/>
        <family val="1"/>
      </rPr>
      <t xml:space="preserve"> (If used, treat as a rough guide only, the figures below are VERY arbitrary.)</t>
    </r>
    <r>
      <rPr>
        <b/>
        <u/>
        <sz val="9"/>
        <color indexed="55"/>
        <rFont val="Times New Roman"/>
        <family val="1"/>
      </rPr>
      <t xml:space="preserve"> </t>
    </r>
  </si>
  <si>
    <t>Proof</t>
  </si>
  <si>
    <t>Total Weight</t>
  </si>
  <si>
    <t>Wt. oz</t>
  </si>
  <si>
    <t xml:space="preserve"> For a glass size of (fl oz)</t>
  </si>
  <si>
    <r>
      <t>WHITE</t>
    </r>
    <r>
      <rPr>
        <sz val="9"/>
        <rFont val="Times New Roman"/>
        <family val="1"/>
      </rPr>
      <t/>
    </r>
  </si>
  <si>
    <r>
      <t>RED</t>
    </r>
    <r>
      <rPr>
        <sz val="9"/>
        <rFont val="Times New Roman"/>
        <family val="1"/>
      </rPr>
      <t/>
    </r>
  </si>
  <si>
    <t>HONEY</t>
  </si>
  <si>
    <t>Yeast Name</t>
  </si>
  <si>
    <t>Manufacturer</t>
  </si>
  <si>
    <t>Yeast</t>
  </si>
  <si>
    <t>Flocculation</t>
  </si>
  <si>
    <t>Max.</t>
  </si>
  <si>
    <t>Temperature</t>
  </si>
  <si>
    <t>State</t>
  </si>
  <si>
    <t xml:space="preserve"> Range °C </t>
  </si>
  <si>
    <t xml:space="preserve"> Range °F</t>
  </si>
  <si>
    <t xml:space="preserve">High </t>
  </si>
  <si>
    <t>(Approx.)</t>
  </si>
  <si>
    <t xml:space="preserve">10th Anniversary Blend WLP010 </t>
  </si>
  <si>
    <t xml:space="preserve">White Labs </t>
  </si>
  <si>
    <t>Liquid</t>
  </si>
  <si>
    <t xml:space="preserve">Medium </t>
  </si>
  <si>
    <t>5-10</t>
  </si>
  <si>
    <t xml:space="preserve">Abbey Ale (Westmalle) WLP530 </t>
  </si>
  <si>
    <t xml:space="preserve">Med/High </t>
  </si>
  <si>
    <t>10-15</t>
  </si>
  <si>
    <t>Abbey IV Ale Yeast (Rochefort) WLP540</t>
  </si>
  <si>
    <t>White Labs</t>
  </si>
  <si>
    <t xml:space="preserve">Alt Ale BRY 144 </t>
  </si>
  <si>
    <t xml:space="preserve">Siebel Inst. </t>
  </si>
  <si>
    <t>-</t>
  </si>
  <si>
    <t xml:space="preserve">American Hefeweizen Ale WLP320 </t>
  </si>
  <si>
    <t xml:space="preserve">Low </t>
  </si>
  <si>
    <t>Albion Ale Yeast WLP040</t>
  </si>
  <si>
    <t>8-12</t>
  </si>
  <si>
    <t xml:space="preserve">American Ale 1056 </t>
  </si>
  <si>
    <t xml:space="preserve">Wyeast </t>
  </si>
  <si>
    <t xml:space="preserve">Low/Med </t>
  </si>
  <si>
    <t xml:space="preserve">American Ale BRY 96 </t>
  </si>
  <si>
    <t xml:space="preserve">American Ale II 1272 </t>
  </si>
  <si>
    <t xml:space="preserve">American Ale Yeast Blend WLP060 </t>
  </si>
  <si>
    <t xml:space="preserve">American Lager 2035 </t>
  </si>
  <si>
    <t xml:space="preserve">American Lager BRY 118 </t>
  </si>
  <si>
    <t xml:space="preserve">Very High </t>
  </si>
  <si>
    <t xml:space="preserve">American Lager WLP840 </t>
  </si>
  <si>
    <t xml:space="preserve">American Wheat 1010 </t>
  </si>
  <si>
    <t>Antwerp Ale Yeast (De Koninck) WLP515</t>
  </si>
  <si>
    <t xml:space="preserve">Australian Ale WLP009 </t>
  </si>
  <si>
    <t>5-11</t>
  </si>
  <si>
    <t xml:space="preserve">Bastogne Belgian Ale Yeast (Orval) WLP510 </t>
  </si>
  <si>
    <t xml:space="preserve">Bavarian Lager 2206 </t>
  </si>
  <si>
    <t xml:space="preserve">Bavarian Weizen Ale WLP351 </t>
  </si>
  <si>
    <t xml:space="preserve">Bavarian Weizen BRY 235 </t>
  </si>
  <si>
    <t xml:space="preserve">Bavarian Wheat 3638 </t>
  </si>
  <si>
    <t xml:space="preserve">Bavarian Wheat Blend 3056 </t>
  </si>
  <si>
    <t xml:space="preserve">Bedford British Ale WLP006 </t>
  </si>
  <si>
    <t>Belgian Abbey (Chimay) 1214</t>
  </si>
  <si>
    <t>Med/Low</t>
  </si>
  <si>
    <t>Belgian Abbey II (Rochefort) 1762</t>
  </si>
  <si>
    <t>Liquid Temp.</t>
  </si>
  <si>
    <t>Belgian Abbey IV (Rochefort) WLP540</t>
  </si>
  <si>
    <t>Belgian Ale (Achouffe) WLP550</t>
  </si>
  <si>
    <t>Belgian Ardennes (Achouffe) 3522</t>
  </si>
  <si>
    <t xml:space="preserve">Belgian Golden Ale (Duvel) WLP570 </t>
  </si>
  <si>
    <t xml:space="preserve">Belgian Lambic Blend 3278 </t>
  </si>
  <si>
    <t>Variable</t>
  </si>
  <si>
    <t xml:space="preserve">Belgian Saison 3724 </t>
  </si>
  <si>
    <t xml:space="preserve">Belgian Saison I WLP565 </t>
  </si>
  <si>
    <t>Belgian Saison II WLP566</t>
  </si>
  <si>
    <t xml:space="preserve">Belgian Sour Mix WLP655 </t>
  </si>
  <si>
    <t xml:space="preserve">NA </t>
  </si>
  <si>
    <t xml:space="preserve">Belgian Strong Ale (Duvel) 1388 </t>
  </si>
  <si>
    <t>12-13</t>
  </si>
  <si>
    <t>Belgian Strong Ale Yeast WLP545</t>
  </si>
  <si>
    <t xml:space="preserve">Belgian Style Ale Yeast Blend WLP575 </t>
  </si>
  <si>
    <t xml:space="preserve">Belgian Wheat 3942 </t>
  </si>
  <si>
    <t xml:space="preserve">Belgian Wit Ale WLP400 </t>
  </si>
  <si>
    <t xml:space="preserve">Belgian Wit II Ale WLP410 </t>
  </si>
  <si>
    <t xml:space="preserve">Belgian Witbier 3944 </t>
  </si>
  <si>
    <t xml:space="preserve">Berliner Weisse Blend WLP630 </t>
  </si>
  <si>
    <t>Biere de Garde 3725</t>
  </si>
  <si>
    <t xml:space="preserve">Bohemian Lager 2124 </t>
  </si>
  <si>
    <t xml:space="preserve">Brettanomyces Bruxellensis WLP650 </t>
  </si>
  <si>
    <t xml:space="preserve">Brettanomyces Claussenii WLP645 </t>
  </si>
  <si>
    <t>Brettanomyces Lambicus 5526</t>
  </si>
  <si>
    <t xml:space="preserve">Brettanomyces Lambicus WLP653 </t>
  </si>
  <si>
    <t xml:space="preserve">Brettanomyces. Bruxellensis 5112 </t>
  </si>
  <si>
    <t>A method of calculating the amount of spirit (usually Vodka) required to fortify a wine.</t>
  </si>
  <si>
    <t xml:space="preserve">Brewferm Blanche </t>
  </si>
  <si>
    <t xml:space="preserve">Brewferm </t>
  </si>
  <si>
    <t>Dried</t>
  </si>
  <si>
    <t xml:space="preserve">Brewferm Lager </t>
  </si>
  <si>
    <t xml:space="preserve">British Ale 1098 </t>
  </si>
  <si>
    <t xml:space="preserve">British Ale II 1335 </t>
  </si>
  <si>
    <t xml:space="preserve">British Ale WLP005 </t>
  </si>
  <si>
    <t xml:space="preserve">British Cask Ale 1026 </t>
  </si>
  <si>
    <t xml:space="preserve">Budvar Lager 2000 </t>
  </si>
  <si>
    <t xml:space="preserve">Burton Ale WLP023 </t>
  </si>
  <si>
    <t xml:space="preserve">California Ale V WLP051 </t>
  </si>
  <si>
    <t xml:space="preserve">California Ale WLP001 </t>
  </si>
  <si>
    <t xml:space="preserve">California Lager 2112 </t>
  </si>
  <si>
    <t xml:space="preserve">Canadian/Belgian Style 3864 </t>
  </si>
  <si>
    <t xml:space="preserve">Coopers Homebrew Yeast </t>
  </si>
  <si>
    <t xml:space="preserve">Coopers </t>
  </si>
  <si>
    <t xml:space="preserve">Copenhagen Lager WLP850 </t>
  </si>
  <si>
    <t>Cream Ale Yeast Blend WLP080</t>
  </si>
  <si>
    <t xml:space="preserve">Czech Budejovice Lager WLP802 </t>
  </si>
  <si>
    <t xml:space="preserve">Czech Pils 2278 </t>
  </si>
  <si>
    <t xml:space="preserve">Danish Lager 2042 </t>
  </si>
  <si>
    <t xml:space="preserve">Dry English ale WLP007 </t>
  </si>
  <si>
    <t xml:space="preserve">Dusseldorf Alt WLP036 </t>
  </si>
  <si>
    <t xml:space="preserve">Dutch Castle Yeast 3822 </t>
  </si>
  <si>
    <t xml:space="preserve">East Coast Ale WLP008 </t>
  </si>
  <si>
    <t>East Midlends Ale Yeast WLP039</t>
  </si>
  <si>
    <t>Edinburgh Scottish Ale Yeast WLP028</t>
  </si>
  <si>
    <t xml:space="preserve">English Ale BRY 264 </t>
  </si>
  <si>
    <t xml:space="preserve">English Ale WLP002 </t>
  </si>
  <si>
    <t xml:space="preserve">V High </t>
  </si>
  <si>
    <t xml:space="preserve">English Special Bitter 1768 </t>
  </si>
  <si>
    <t xml:space="preserve">Essex Ale Yeast WLP022 </t>
  </si>
  <si>
    <t xml:space="preserve">European Ale WLP011 </t>
  </si>
  <si>
    <t xml:space="preserve">European Lager II 2247 </t>
  </si>
  <si>
    <t>Main Contents/Notes:-</t>
  </si>
  <si>
    <t xml:space="preserve">oz </t>
  </si>
  <si>
    <t>Malt Extract Calculator</t>
  </si>
  <si>
    <t>For use when sugars etc. are added at different stages or times.</t>
  </si>
  <si>
    <t>Initial gravity (stage 1)</t>
  </si>
  <si>
    <t>Measured gravity (stage 2)</t>
  </si>
  <si>
    <t>Amended gravity</t>
  </si>
  <si>
    <t>Added g</t>
  </si>
  <si>
    <r>
      <t>Disclaimer</t>
    </r>
    <r>
      <rPr>
        <sz val="9"/>
        <color indexed="23"/>
        <rFont val="Times New Roman"/>
        <family val="1"/>
      </rPr>
      <t>:</t>
    </r>
    <r>
      <rPr>
        <sz val="9"/>
        <rFont val="Times New Roman"/>
        <family val="1"/>
      </rPr>
      <t xml:space="preserve"> No responsibility is assumed or implied as a result of using this spreadsheet.</t>
    </r>
  </si>
  <si>
    <t>Measured gravity (stage 3)</t>
  </si>
  <si>
    <t>Final measured gravity</t>
  </si>
  <si>
    <t>Calorie/Carbohydrate/Unit Data.</t>
  </si>
  <si>
    <t>Technical Section</t>
  </si>
  <si>
    <t>Change the default settings etc.</t>
  </si>
  <si>
    <t>Beer Calculations</t>
  </si>
  <si>
    <t>Priming Calc's. For Beers Etc.</t>
  </si>
  <si>
    <t>Also suitable for priming sparkling wines &amp; ciders.</t>
  </si>
  <si>
    <t>BJCP Guide</t>
  </si>
  <si>
    <t>Disclaimer:</t>
  </si>
  <si>
    <t>Isomerised hop extract  (ml)</t>
  </si>
  <si>
    <t>litres allowing for excessive "boiling up"</t>
  </si>
  <si>
    <t>Approx. ingredient vol. (exc. "topping-up" water) =</t>
  </si>
  <si>
    <t>FLESH*</t>
  </si>
  <si>
    <t xml:space="preserve">Admiral </t>
  </si>
  <si>
    <t>Cacade</t>
  </si>
  <si>
    <t>First Gold</t>
  </si>
  <si>
    <t>Magnum</t>
  </si>
  <si>
    <t>Perle</t>
  </si>
  <si>
    <t>Spalter Select</t>
  </si>
  <si>
    <t>Other (4)</t>
  </si>
  <si>
    <t>Wet/dry malt extract weight converters</t>
  </si>
  <si>
    <t xml:space="preserve">SUMMARY FOR </t>
  </si>
  <si>
    <t>www.bjcp.org/stylecenter.php</t>
  </si>
  <si>
    <t xml:space="preserve">Farmhouse Ale 3726 </t>
  </si>
  <si>
    <t xml:space="preserve">Forbidden Fruit Yeast 3463 </t>
  </si>
  <si>
    <t>French Ale Yeast WLP039</t>
  </si>
  <si>
    <t>French Saison 3711</t>
  </si>
  <si>
    <t xml:space="preserve">Gambrinus Lager 2002 </t>
  </si>
  <si>
    <t xml:space="preserve">German Ale 1007 </t>
  </si>
  <si>
    <t xml:space="preserve">German Ale II WLP003 </t>
  </si>
  <si>
    <t xml:space="preserve">German Ale/Kölsch WLP029 </t>
  </si>
  <si>
    <t>German Bock Lager WLP833</t>
  </si>
  <si>
    <t xml:space="preserve">German Lager WLP830 </t>
  </si>
  <si>
    <t xml:space="preserve">German Wheat 3333 </t>
  </si>
  <si>
    <t xml:space="preserve">Hefeweizen Ale WLP300 </t>
  </si>
  <si>
    <t xml:space="preserve">Hefeweizen IV Ale WLP380 </t>
  </si>
  <si>
    <t xml:space="preserve">Irish Ale 1084 </t>
  </si>
  <si>
    <t xml:space="preserve">Irish Ale WLP004 </t>
  </si>
  <si>
    <t xml:space="preserve">Kölsch 2565 </t>
  </si>
  <si>
    <t xml:space="preserve">Lactobacillus 5335 </t>
  </si>
  <si>
    <t xml:space="preserve">Lactobacillus Delbrueckii 4335 </t>
  </si>
  <si>
    <t>Leuven Pale Ale 3538 {Du Bocq (Corsendonk)}</t>
  </si>
  <si>
    <t xml:space="preserve">London Ale 1028 </t>
  </si>
  <si>
    <t xml:space="preserve">London Ale III 1318 </t>
  </si>
  <si>
    <t xml:space="preserve">London Ale WLP013 </t>
  </si>
  <si>
    <t xml:space="preserve">London ESB Ale 1968 </t>
  </si>
  <si>
    <t xml:space="preserve">Mexican Lager Yeast WLP940 </t>
  </si>
  <si>
    <t xml:space="preserve">Munich Lager 2308 </t>
  </si>
  <si>
    <t>Acid is expressed in terms of the tartaric eqiuvalent.</t>
  </si>
  <si>
    <t>Note:- 1 ml of Ritchie's hop extract in 1 litre of beer add 69 EBU. DO NOT BOIL.</t>
  </si>
  <si>
    <t xml:space="preserve">Muntons Premium Gold </t>
  </si>
  <si>
    <t xml:space="preserve">Muntons </t>
  </si>
  <si>
    <t xml:space="preserve">Muntons Standard Yeast </t>
  </si>
  <si>
    <t xml:space="preserve">North American Lager 2272 </t>
  </si>
  <si>
    <t xml:space="preserve">North European Lager BRY 203 </t>
  </si>
  <si>
    <t xml:space="preserve">Northwest Ale 1332 </t>
  </si>
  <si>
    <t xml:space="preserve">Nottingham </t>
  </si>
  <si>
    <t xml:space="preserve">Danstar </t>
  </si>
  <si>
    <t xml:space="preserve">Octoberfest Lager Blend 2633 </t>
  </si>
  <si>
    <t xml:space="preserve">Oktoberfest/Märzen WLP820 </t>
  </si>
  <si>
    <t xml:space="preserve">Old Bavarian Lager Yeast WLP920 </t>
  </si>
  <si>
    <t xml:space="preserve">Pacific Ale WLP041 </t>
  </si>
  <si>
    <t>Pediococcus 5733</t>
  </si>
  <si>
    <t xml:space="preserve">Pilsen Lager 2007 </t>
  </si>
  <si>
    <t xml:space="preserve">Pilsner Lager WLP800 </t>
  </si>
  <si>
    <t xml:space="preserve">Premium Bitter Ale WLP026 </t>
  </si>
  <si>
    <t xml:space="preserve">Ringwood Ale 1187 </t>
  </si>
  <si>
    <t>Roeselare Ale Blend 3763</t>
  </si>
  <si>
    <t xml:space="preserve">Safale S-04 </t>
  </si>
  <si>
    <t xml:space="preserve">Fermentis </t>
  </si>
  <si>
    <t>Zurich Lager WLP885</t>
  </si>
  <si>
    <t>15+</t>
  </si>
  <si>
    <t>Go to the BYO web site for more information.</t>
  </si>
  <si>
    <t xml:space="preserve">Wyeast Labs yeasts:-   </t>
  </si>
  <si>
    <t>White Labs yeasts:-</t>
  </si>
  <si>
    <t xml:space="preserve">Wyeast Labs Alcohol Tolerance: </t>
  </si>
  <si>
    <t>1****</t>
  </si>
  <si>
    <t>WLP0**</t>
  </si>
  <si>
    <t>V. High:</t>
  </si>
  <si>
    <t>Over 15%</t>
  </si>
  <si>
    <t>Lager</t>
  </si>
  <si>
    <t>2****</t>
  </si>
  <si>
    <t>WLP8**/WLP9**</t>
  </si>
  <si>
    <t>High:</t>
  </si>
  <si>
    <t>10-15%</t>
  </si>
  <si>
    <t>Wheat</t>
  </si>
  <si>
    <t>3****</t>
  </si>
  <si>
    <t>Med/High:</t>
  </si>
  <si>
    <t>8-12%</t>
  </si>
  <si>
    <t>Wine</t>
  </si>
  <si>
    <t>4****</t>
  </si>
  <si>
    <t>Medium:</t>
  </si>
  <si>
    <t>5-10%</t>
  </si>
  <si>
    <t>Low:</t>
  </si>
  <si>
    <t>2-5%</t>
  </si>
  <si>
    <t>Lallemand produce "Danstar" yeasts.</t>
  </si>
  <si>
    <t xml:space="preserve">American Brown </t>
  </si>
  <si>
    <t xml:space="preserve">American Lager </t>
  </si>
  <si>
    <t>METRIC UNITS</t>
  </si>
  <si>
    <t xml:space="preserve">American Pale Ale </t>
  </si>
  <si>
    <t>American Pilsner</t>
  </si>
  <si>
    <t>Chosen</t>
  </si>
  <si>
    <t>American Wheat</t>
  </si>
  <si>
    <t>Carb.</t>
  </si>
  <si>
    <t xml:space="preserve">Bamberg Rauchbier </t>
  </si>
  <si>
    <t xml:space="preserve">Belgian Ale </t>
  </si>
  <si>
    <t>Belgian Dubbel</t>
  </si>
  <si>
    <t>Belgian Fruit Lambic</t>
  </si>
  <si>
    <t>UK IMPERIAL UNITS</t>
  </si>
  <si>
    <t xml:space="preserve">Belgian Lambic </t>
  </si>
  <si>
    <t xml:space="preserve">Belgian Tripel </t>
  </si>
  <si>
    <t>Brew</t>
  </si>
  <si>
    <t xml:space="preserve">Berliner Weisse </t>
  </si>
  <si>
    <t>Biere De Garde</t>
  </si>
  <si>
    <t>Bock</t>
  </si>
  <si>
    <t>gm</t>
  </si>
  <si>
    <t>Bohemian Pilsner</t>
  </si>
  <si>
    <t>California Common</t>
  </si>
  <si>
    <t>US UNITS</t>
  </si>
  <si>
    <t>Cream Ale</t>
  </si>
  <si>
    <t>Dopple Bock</t>
  </si>
  <si>
    <t>Dortmunder Export</t>
  </si>
  <si>
    <t>Dunkelweizen</t>
  </si>
  <si>
    <t>Dusseldorf Altbier</t>
  </si>
  <si>
    <t>Eisbock</t>
  </si>
  <si>
    <t>English Bitter</t>
  </si>
  <si>
    <t xml:space="preserve">English Brown </t>
  </si>
  <si>
    <t>English Mild</t>
  </si>
  <si>
    <t>Temperature Converter</t>
  </si>
  <si>
    <t>English Old/Strong Ale</t>
  </si>
  <si>
    <t>F</t>
  </si>
  <si>
    <t>English Pale Ale</t>
  </si>
  <si>
    <t>Flanders Brown</t>
  </si>
  <si>
    <t>Foreign-Style Stout</t>
  </si>
  <si>
    <t>Weight Converter</t>
  </si>
  <si>
    <t>German Pilsner</t>
  </si>
  <si>
    <t>Helles Bock</t>
  </si>
  <si>
    <t>Imperial Stout</t>
  </si>
  <si>
    <t>India Pale Ale</t>
  </si>
  <si>
    <t>Irish Dry Stout</t>
  </si>
  <si>
    <t>UK</t>
  </si>
  <si>
    <t>US</t>
  </si>
  <si>
    <t>Galls</t>
  </si>
  <si>
    <t>Maibock</t>
  </si>
  <si>
    <t>Marzen/Oktoberfest</t>
  </si>
  <si>
    <t>Munchner Helles</t>
  </si>
  <si>
    <t>Munich Dunkel</t>
  </si>
  <si>
    <t>Oud Bruin</t>
  </si>
  <si>
    <t>Porter</t>
  </si>
  <si>
    <t>Schwarzbier</t>
  </si>
  <si>
    <t>Scottish Ale</t>
  </si>
  <si>
    <t>Strong Scotch Ale</t>
  </si>
  <si>
    <t>Sweet Stout</t>
  </si>
  <si>
    <t>SUCROSE</t>
  </si>
  <si>
    <t>Vienna</t>
  </si>
  <si>
    <t>Weizen/Weissbier</t>
  </si>
  <si>
    <t>Weizenbock</t>
  </si>
  <si>
    <t>At least it is very handy way of converting recipes to metric.</t>
  </si>
  <si>
    <t>GLUCOSE  (HYDROUS &amp; DEXTROSE)</t>
  </si>
  <si>
    <t>Volume (finished/effective starting)</t>
  </si>
  <si>
    <t>Isomerised hop extract (ml)</t>
  </si>
  <si>
    <t xml:space="preserve">         Tea tannin is not the same as grape tannin, neither is most shop-bought tannins as they are made from re-cycled chestnut/oak trees etc.</t>
  </si>
  <si>
    <t>Many thanks to James on</t>
  </si>
  <si>
    <r>
      <t xml:space="preserve">Fluid </t>
    </r>
    <r>
      <rPr>
        <sz val="10"/>
        <color indexed="10"/>
        <rFont val="Times New Roman"/>
        <family val="1"/>
      </rPr>
      <t>UK</t>
    </r>
  </si>
  <si>
    <t>8.3-22</t>
  </si>
  <si>
    <t>Metric measures</t>
  </si>
  <si>
    <t>UK measures</t>
  </si>
  <si>
    <t>US measures</t>
  </si>
  <si>
    <t>Underweight</t>
  </si>
  <si>
    <t>Normal</t>
  </si>
  <si>
    <t>Overweight</t>
  </si>
  <si>
    <t>Obese</t>
  </si>
  <si>
    <t>Brew efficiency</t>
  </si>
  <si>
    <t>NOTES:-</t>
  </si>
  <si>
    <t>g/litre</t>
  </si>
  <si>
    <t>Other (3)</t>
  </si>
  <si>
    <t>HIDDEN COLUMNS</t>
  </si>
  <si>
    <t>HOP CALCS</t>
  </si>
  <si>
    <t>Between 25-30</t>
  </si>
  <si>
    <t>Between 20-25</t>
  </si>
  <si>
    <t>Over 30</t>
  </si>
  <si>
    <t xml:space="preserve">Less than 20 </t>
  </si>
  <si>
    <t>after the boil.</t>
  </si>
  <si>
    <t>at start of the boil.</t>
  </si>
  <si>
    <t>COL</t>
  </si>
  <si>
    <t>ATTEN</t>
  </si>
  <si>
    <t>MALTS &amp; SUGARS</t>
  </si>
  <si>
    <t>% Sugars</t>
  </si>
  <si>
    <t>HOPS</t>
  </si>
  <si>
    <t>% AA</t>
  </si>
  <si>
    <t>www.PetesPintPot.co.uk</t>
  </si>
  <si>
    <t>Default zoom setting. = 75%</t>
  </si>
  <si>
    <t>6 US gallons = 5 UK = 22.7 litres</t>
  </si>
  <si>
    <t>1 UK pint = 20 fl oz</t>
  </si>
  <si>
    <t>5 US gallons = 18.9 litres</t>
  </si>
  <si>
    <t>lb.</t>
  </si>
  <si>
    <t>1lb = 16oz</t>
  </si>
  <si>
    <t>lb. oz</t>
  </si>
  <si>
    <t>Wt. / Vol. Converters</t>
  </si>
  <si>
    <t>Kg / l</t>
  </si>
  <si>
    <t>Wt. / Vol</t>
  </si>
  <si>
    <t>g / l</t>
  </si>
  <si>
    <t>General Weight &amp; Volume Converters</t>
  </si>
  <si>
    <t xml:space="preserve">Wt. 1 </t>
  </si>
  <si>
    <t>Wt. 2</t>
  </si>
  <si>
    <t>Calibration Temp.</t>
  </si>
  <si>
    <t>ABV (approx.)</t>
  </si>
  <si>
    <t>SG / Vol. Converter</t>
  </si>
  <si>
    <t>°Brix, Plato, Balling &amp; Baumé</t>
  </si>
  <si>
    <t>SG</t>
  </si>
  <si>
    <t>The Baumé scale is used to measure liquid density.</t>
  </si>
  <si>
    <t>NOTE:- A slightly different formula is used for SG's below zero.</t>
  </si>
  <si>
    <r>
      <t>UK Proof</t>
    </r>
    <r>
      <rPr>
        <b/>
        <u/>
        <sz val="11.5"/>
        <color indexed="8"/>
        <rFont val="Times New Roman"/>
        <family val="1"/>
      </rPr>
      <t xml:space="preserve"> &amp; % Converters</t>
    </r>
  </si>
  <si>
    <r>
      <t xml:space="preserve">ABV / </t>
    </r>
    <r>
      <rPr>
        <b/>
        <sz val="11"/>
        <color indexed="10"/>
        <rFont val="Times New Roman"/>
        <family val="1"/>
      </rPr>
      <t>Proof</t>
    </r>
    <r>
      <rPr>
        <b/>
        <sz val="11"/>
        <color indexed="8"/>
        <rFont val="Times New Roman"/>
        <family val="1"/>
      </rPr>
      <t xml:space="preserve"> converter</t>
    </r>
  </si>
  <si>
    <r>
      <t xml:space="preserve">ABW / </t>
    </r>
    <r>
      <rPr>
        <b/>
        <sz val="10"/>
        <color indexed="10"/>
        <rFont val="Times New Roman"/>
        <family val="1"/>
      </rPr>
      <t>Proof</t>
    </r>
    <r>
      <rPr>
        <b/>
        <sz val="10"/>
        <color indexed="8"/>
        <rFont val="Times New Roman"/>
        <family val="1"/>
      </rPr>
      <t xml:space="preserve"> converter</t>
    </r>
  </si>
  <si>
    <t>Making Beer &amp; Wine In Stages</t>
  </si>
  <si>
    <t>Effective O. G. =</t>
  </si>
  <si>
    <t>When using this calculator, it is vital to take gravity readings before &amp; after the sugars, syrups &amp; malts etc. have been mixed in.</t>
  </si>
  <si>
    <t>End gravity =</t>
  </si>
  <si>
    <t>% Alcohol (exc. primer) =</t>
  </si>
  <si>
    <t>Hydrometer readings errors of ± 1 can typically lead to errors of about 0.3% ABV.</t>
  </si>
  <si>
    <t>Safe Drinking in the UK</t>
  </si>
  <si>
    <t>Country</t>
  </si>
  <si>
    <t>1 unit alcohol =</t>
  </si>
  <si>
    <t>ml  OR  g</t>
  </si>
  <si>
    <t>Australia</t>
  </si>
  <si>
    <t>Austria</t>
  </si>
  <si>
    <t>Canada</t>
  </si>
  <si>
    <t>Denmark</t>
  </si>
  <si>
    <t>Finland</t>
  </si>
  <si>
    <t>France</t>
  </si>
  <si>
    <t>Hungary</t>
  </si>
  <si>
    <t>Iceland</t>
  </si>
  <si>
    <t>Beer, Wine &amp; Spirit &amp; Alcohol Freezing Point</t>
  </si>
  <si>
    <t>Ireland (Eire)</t>
  </si>
  <si>
    <t>Approx. Freezing Point</t>
  </si>
  <si>
    <t>Italy</t>
  </si>
  <si>
    <t>Japan</t>
  </si>
  <si>
    <t>Netherlands</t>
  </si>
  <si>
    <t>New Zealand</t>
  </si>
  <si>
    <t>Length / Height Conversion</t>
  </si>
  <si>
    <t>Poland</t>
  </si>
  <si>
    <t xml:space="preserve">BMI (Body Mass Index)  = </t>
  </si>
  <si>
    <t>Portugal</t>
  </si>
  <si>
    <t>in  =  m</t>
  </si>
  <si>
    <t>Spain</t>
  </si>
  <si>
    <t xml:space="preserve">lb = Kg </t>
  </si>
  <si>
    <t>ft.  in</t>
  </si>
  <si>
    <t>USA</t>
  </si>
  <si>
    <t>Other 3</t>
  </si>
  <si>
    <r>
      <t>WARNING!</t>
    </r>
    <r>
      <rPr>
        <sz val="11"/>
        <color indexed="8"/>
        <rFont val="Times New Roman"/>
        <family val="1"/>
      </rPr>
      <t xml:space="preserve">  </t>
    </r>
    <r>
      <rPr>
        <sz val="11"/>
        <color indexed="8"/>
        <rFont val="Times New Roman"/>
        <family val="1"/>
      </rPr>
      <t>Do not use this if you are of a sensitive nature.</t>
    </r>
  </si>
  <si>
    <t>Other 2</t>
  </si>
  <si>
    <t>Other 1</t>
  </si>
  <si>
    <t xml:space="preserve">  (789.4  Nom.)</t>
  </si>
  <si>
    <t>Free for use. Not for sale.</t>
  </si>
  <si>
    <r>
      <t>Disclaimer</t>
    </r>
    <r>
      <rPr>
        <sz val="8"/>
        <color indexed="23"/>
        <rFont val="Times New Roman"/>
        <family val="1"/>
      </rPr>
      <t xml:space="preserve">: </t>
    </r>
    <r>
      <rPr>
        <sz val="8"/>
        <color indexed="8"/>
        <rFont val="Times New Roman"/>
        <family val="1"/>
      </rPr>
      <t>No responsibility is assumed or implied as a result of using this spreadsheet.</t>
    </r>
  </si>
  <si>
    <t>General Calc's.</t>
  </si>
  <si>
    <t>General Converters - volume, weights, temperature etc.</t>
  </si>
  <si>
    <t>UK / US Proof &amp; % Converters</t>
  </si>
  <si>
    <t>Includes ABV / ABW / Proof Calc's</t>
  </si>
  <si>
    <t>Safe Drinking (UK)</t>
  </si>
  <si>
    <r>
      <t>NOTE:-</t>
    </r>
    <r>
      <rPr>
        <sz val="10"/>
        <rFont val="Times New Roman"/>
        <family val="1"/>
      </rPr>
      <t xml:space="preserve"> These calculators use pre-set data which may be changed.</t>
    </r>
  </si>
  <si>
    <t xml:space="preserve">    No information available, value "guessed".</t>
  </si>
  <si>
    <t>Default zoom setting = 75%</t>
  </si>
  <si>
    <t>Hop Boil Schedule</t>
  </si>
  <si>
    <t>METHOD 1a</t>
  </si>
  <si>
    <t>METHOD 1b</t>
  </si>
  <si>
    <t>1st hops added at time</t>
  </si>
  <si>
    <t>.</t>
  </si>
  <si>
    <r>
      <t xml:space="preserve">⁂  </t>
    </r>
    <r>
      <rPr>
        <sz val="10"/>
        <rFont val="Times New Roman"/>
        <family val="1"/>
      </rPr>
      <t>2nd hops added at</t>
    </r>
  </si>
  <si>
    <r>
      <t xml:space="preserve">⁂  </t>
    </r>
    <r>
      <rPr>
        <sz val="10"/>
        <rFont val="Times New Roman"/>
        <family val="1"/>
      </rPr>
      <t>3rd hops added at</t>
    </r>
  </si>
  <si>
    <t>End Boil Time =</t>
  </si>
  <si>
    <t>Total Boil Time =</t>
  </si>
  <si>
    <r>
      <t xml:space="preserve"> ⁂  </t>
    </r>
    <r>
      <rPr>
        <sz val="10"/>
        <rFont val="Times New Roman"/>
        <family val="1"/>
      </rPr>
      <t>If applicable.</t>
    </r>
  </si>
  <si>
    <t xml:space="preserve">   (Note: All these calc's are approx.)</t>
  </si>
  <si>
    <t>SG = Kg / cubic metre.</t>
  </si>
  <si>
    <t>Vodka used.</t>
  </si>
  <si>
    <t xml:space="preserve">  (Mainly for diabetes suffers. All figures are approximate.) See the </t>
  </si>
  <si>
    <r>
      <t xml:space="preserve">      </t>
    </r>
    <r>
      <rPr>
        <u/>
        <sz val="11"/>
        <color indexed="14"/>
        <rFont val="Times New Roman"/>
        <family val="1"/>
      </rPr>
      <t>Metric measures</t>
    </r>
  </si>
  <si>
    <t>APPROXIMATE BEER COLOUR CHART</t>
  </si>
  <si>
    <t>For a beer of OG</t>
  </si>
  <si>
    <t>EBU's</t>
  </si>
  <si>
    <t>For up-to-date information see:-</t>
  </si>
  <si>
    <t>To amend / modify any data, please refer to the "Technical Section".</t>
  </si>
  <si>
    <t>Initial vol.</t>
  </si>
  <si>
    <t>Brewing / resting temp</t>
  </si>
  <si>
    <t>G. F. B.</t>
  </si>
  <si>
    <t>Targets</t>
  </si>
  <si>
    <t>CALORIE / CARBOHYDRATE &amp; UNIT DATA</t>
  </si>
  <si>
    <r>
      <t>O.G.</t>
    </r>
    <r>
      <rPr>
        <sz val="10"/>
        <color indexed="54"/>
        <rFont val="Times New Roman"/>
        <family val="1"/>
      </rPr>
      <t xml:space="preserve"> </t>
    </r>
    <r>
      <rPr>
        <sz val="10"/>
        <color indexed="57"/>
        <rFont val="Times New Roman"/>
        <family val="1"/>
      </rPr>
      <t>(exc. primer / lactose)</t>
    </r>
  </si>
  <si>
    <r>
      <t xml:space="preserve">"Effective" O.G. </t>
    </r>
    <r>
      <rPr>
        <sz val="10"/>
        <color indexed="10"/>
        <rFont val="Times New Roman"/>
        <family val="1"/>
      </rPr>
      <t>(inc. primer etc)</t>
    </r>
  </si>
  <si>
    <t>This is mainly for diabetes suffers. All the figures are approximate.</t>
  </si>
  <si>
    <r>
      <t>F.G.</t>
    </r>
    <r>
      <rPr>
        <sz val="10"/>
        <color indexed="54"/>
        <rFont val="Times New Roman"/>
        <family val="1"/>
      </rPr>
      <t xml:space="preserve"> </t>
    </r>
    <r>
      <rPr>
        <sz val="10"/>
        <color indexed="57"/>
        <rFont val="Times New Roman"/>
        <family val="1"/>
      </rPr>
      <t>(exc. primer / lactose)</t>
    </r>
  </si>
  <si>
    <r>
      <t>"Effective" F.G.</t>
    </r>
    <r>
      <rPr>
        <sz val="10"/>
        <color indexed="10"/>
        <rFont val="Times New Roman"/>
        <family val="1"/>
      </rPr>
      <t xml:space="preserve"> (inc. primer etc)</t>
    </r>
  </si>
  <si>
    <r>
      <t xml:space="preserve">  </t>
    </r>
    <r>
      <rPr>
        <u/>
        <sz val="10"/>
        <color indexed="53"/>
        <rFont val="Times New Roman"/>
        <family val="1"/>
      </rPr>
      <t>UK measures</t>
    </r>
  </si>
  <si>
    <r>
      <t>% Alcohol</t>
    </r>
    <r>
      <rPr>
        <sz val="10"/>
        <color indexed="10"/>
        <rFont val="Times New Roman"/>
        <family val="1"/>
      </rPr>
      <t xml:space="preserve"> </t>
    </r>
    <r>
      <rPr>
        <sz val="10"/>
        <color indexed="57"/>
        <rFont val="Times New Roman"/>
        <family val="1"/>
      </rPr>
      <t>(exc. primer)</t>
    </r>
  </si>
  <si>
    <t>For a bottle / glass size of</t>
  </si>
  <si>
    <t>Cals from the resid. sugars</t>
  </si>
  <si>
    <r>
      <t xml:space="preserve">All figures shown in </t>
    </r>
    <r>
      <rPr>
        <sz val="10"/>
        <color indexed="55"/>
        <rFont val="Times New Roman"/>
        <family val="1"/>
      </rPr>
      <t>grey</t>
    </r>
    <r>
      <rPr>
        <sz val="10"/>
        <color indexed="8"/>
        <rFont val="Times New Roman"/>
        <family val="1"/>
      </rPr>
      <t xml:space="preserve"> may be ignored - for information only.</t>
    </r>
  </si>
  <si>
    <t>Hops boiled alone.</t>
  </si>
  <si>
    <t>Gluten Free Brewing Extract / Syrups</t>
  </si>
  <si>
    <t xml:space="preserve">Qty </t>
  </si>
  <si>
    <t>% Wt.</t>
  </si>
  <si>
    <t>Any sugars added at</t>
  </si>
  <si>
    <t>Hops boiled with any</t>
  </si>
  <si>
    <t>REV</t>
  </si>
  <si>
    <t>Boiled</t>
  </si>
  <si>
    <t>Cascade</t>
  </si>
  <si>
    <r>
      <t>Sugars Etc.</t>
    </r>
    <r>
      <rPr>
        <sz val="10"/>
        <color indexed="55"/>
        <rFont val="Times New Roman"/>
        <family val="1"/>
      </rPr>
      <t xml:space="preserve"> </t>
    </r>
    <r>
      <rPr>
        <sz val="9"/>
        <color indexed="55"/>
        <rFont val="Times New Roman"/>
        <family val="1"/>
      </rPr>
      <t>(normally 30% max.)</t>
    </r>
  </si>
  <si>
    <t>Pilgrim</t>
  </si>
  <si>
    <t>prim</t>
  </si>
  <si>
    <t>tot sugars</t>
  </si>
  <si>
    <t>X71</t>
  </si>
  <si>
    <t>Atten NO prime sug</t>
  </si>
  <si>
    <t>Any lactose is added after the boil.</t>
  </si>
  <si>
    <t>Do not boil the hop extract!</t>
  </si>
  <si>
    <t>Boil gravity</t>
  </si>
  <si>
    <t>Boil bitterness added</t>
  </si>
  <si>
    <r>
      <t xml:space="preserve">% Utilization (normally adj. to </t>
    </r>
    <r>
      <rPr>
        <b/>
        <sz val="10"/>
        <color indexed="10"/>
        <rFont val="Times New Roman"/>
        <family val="1"/>
      </rPr>
      <t>20</t>
    </r>
    <r>
      <rPr>
        <sz val="10"/>
        <color indexed="10"/>
        <rFont val="Times New Roman"/>
        <family val="1"/>
      </rPr>
      <t>)</t>
    </r>
  </si>
  <si>
    <t>Bitterness from added hops (EBU)</t>
  </si>
  <si>
    <t>Iso-hop extract bitterness</t>
  </si>
  <si>
    <t>Total bitterness</t>
  </si>
  <si>
    <t>See the Hop Settings</t>
  </si>
  <si>
    <t xml:space="preserve">The hop calculations use the Dr. Glenn Tinseth method for loose, whole hops. If the hops are used in a mesh bag, use about 10% more. When using hop pellets, use about 10% fewer.
The length of the boil time is a factor in the bitterness of a beer, up to a certain point. However, the beers hop flavour is said to reach a maximum after about 20 mins. &amp; the hop aroma after just 7 or 8 mins.
Therefore the hop bitterness, flavour &amp; aroma depend upon the boil timings used. </t>
  </si>
  <si>
    <t>Typical sugar priming rates.</t>
  </si>
  <si>
    <t xml:space="preserve">Approx. </t>
  </si>
  <si>
    <t>3.15g / litre (1 level 5ml tsp) for (British) ales.</t>
  </si>
  <si>
    <t>4.725g / litre (1.5 tsp) for porters / stouts</t>
  </si>
  <si>
    <t>6.3g / litre (2 tsp) for Trappist / Abbey ales &amp; lagers.</t>
  </si>
  <si>
    <t>Copyright Peter J. Laycock 28~10~'17</t>
  </si>
  <si>
    <t>Hop Settings</t>
  </si>
  <si>
    <t>Fermn</t>
  </si>
  <si>
    <t xml:space="preserve">% </t>
  </si>
  <si>
    <t>White Sorghum Syrup</t>
  </si>
  <si>
    <t>Used for the Hop Utilisation calc’s.</t>
  </si>
  <si>
    <t>Clarified Brown Rice Syrup</t>
  </si>
  <si>
    <t>Corn Syrup (10% max.)</t>
  </si>
  <si>
    <t>Note:- 1 ml of Ritchie's hop extract in 1 litre of beer adds 69 EBU's.</t>
  </si>
  <si>
    <t>Cane / beet sugar (sucrose)</t>
  </si>
  <si>
    <t>Lactose (no fermentable sugars)</t>
  </si>
  <si>
    <t>Add after the boil.</t>
  </si>
  <si>
    <t>Cut</t>
  </si>
  <si>
    <r>
      <t>Dextrose</t>
    </r>
    <r>
      <rPr>
        <sz val="8"/>
        <color indexed="8"/>
        <rFont val="Times New Roman"/>
        <family val="1"/>
      </rPr>
      <t xml:space="preserve"> Monohydrate (Brewing/corn sugar)</t>
    </r>
  </si>
  <si>
    <t>Belgian candi sugar white</t>
  </si>
  <si>
    <t>SOLID</t>
  </si>
  <si>
    <t>Belgian candi sugar light brown</t>
  </si>
  <si>
    <t>Belgian candi sugar dark brown</t>
  </si>
  <si>
    <r>
      <t>Belgian candi sugar light</t>
    </r>
    <r>
      <rPr>
        <sz val="8"/>
        <color indexed="8"/>
        <rFont val="Times New Roman"/>
        <family val="1"/>
      </rPr>
      <t xml:space="preserve"> LIQ</t>
    </r>
  </si>
  <si>
    <t>LIQUID</t>
  </si>
  <si>
    <r>
      <t>Belgian candi sugar amber</t>
    </r>
    <r>
      <rPr>
        <sz val="8"/>
        <color indexed="8"/>
        <rFont val="Times New Roman"/>
        <family val="1"/>
      </rPr>
      <t xml:space="preserve"> LIQ</t>
    </r>
  </si>
  <si>
    <r>
      <t>Belgian candi sugar dark</t>
    </r>
    <r>
      <rPr>
        <sz val="8"/>
        <color indexed="8"/>
        <rFont val="Times New Roman"/>
        <family val="1"/>
      </rPr>
      <t xml:space="preserve"> LIQ</t>
    </r>
  </si>
  <si>
    <t>Not sure about this info but it's better than now't! (Well, possibly.)</t>
  </si>
  <si>
    <t>Inv. sugar No. 1 syrup</t>
  </si>
  <si>
    <t>Inv. sugar No. 2 syrup</t>
  </si>
  <si>
    <t>Inv. sugar No. 3 syrup</t>
  </si>
  <si>
    <t>Inv. sugar No. 4 syrup</t>
  </si>
  <si>
    <t>Gluten-Free Beer Calculator</t>
  </si>
  <si>
    <r>
      <rPr>
        <sz val="11"/>
        <color indexed="14"/>
        <rFont val="Times New Roman"/>
        <family val="1"/>
      </rPr>
      <t xml:space="preserve">         </t>
    </r>
    <r>
      <rPr>
        <u/>
        <sz val="11"/>
        <color indexed="14"/>
        <rFont val="Times New Roman"/>
        <family val="1"/>
      </rPr>
      <t>Metric measures</t>
    </r>
  </si>
  <si>
    <t>This page is primarily intended for "mashers" but "extract" uses can it as well. although some very minor hop errors may occur.</t>
  </si>
  <si>
    <t>Note:- Many other strains of Wyeast yeast exist.</t>
  </si>
  <si>
    <r>
      <t xml:space="preserve">⁂  </t>
    </r>
    <r>
      <rPr>
        <sz val="10"/>
        <rFont val="Times New Roman"/>
        <family val="1"/>
      </rPr>
      <t>If applicable.</t>
    </r>
  </si>
  <si>
    <t>Hop Alpha Acid / Weight Conversions</t>
  </si>
  <si>
    <t>Old % alpha acid</t>
  </si>
  <si>
    <t>New % alpha acid</t>
  </si>
  <si>
    <t>Mineral,/Vitamins mg/100g</t>
  </si>
  <si>
    <t>The main "B" Vitamins</t>
  </si>
  <si>
    <t>B2</t>
  </si>
  <si>
    <t>Riboflavin</t>
  </si>
  <si>
    <t>Pyridoxine / pyridoxal / pyridoxamine</t>
  </si>
  <si>
    <t>B7</t>
  </si>
  <si>
    <t>Biotin</t>
  </si>
  <si>
    <t>B9</t>
  </si>
  <si>
    <t>Folic acid</t>
  </si>
  <si>
    <t>B12</t>
  </si>
  <si>
    <t>Cyanocobalamin</t>
  </si>
  <si>
    <t>&amp; for initial volume of</t>
  </si>
  <si>
    <t xml:space="preserve">must requirements/litre </t>
  </si>
  <si>
    <r>
      <t xml:space="preserve">NOTE:- The data in </t>
    </r>
    <r>
      <rPr>
        <sz val="10"/>
        <color indexed="55"/>
        <rFont val="Times New Roman"/>
        <family val="1"/>
      </rPr>
      <t>gray</t>
    </r>
    <r>
      <rPr>
        <sz val="10"/>
        <rFont val="Times New Roman"/>
        <family val="1"/>
      </rPr>
      <t xml:space="preserve"> can be ignored.</t>
    </r>
  </si>
  <si>
    <t xml:space="preserve">WHITE </t>
  </si>
  <si>
    <t>PERSIMMON (Sharon fuit)</t>
  </si>
  <si>
    <r>
      <t>RHUBARB</t>
    </r>
    <r>
      <rPr>
        <b/>
        <sz val="10"/>
        <rFont val="Times New Roman"/>
        <family val="1"/>
      </rPr>
      <t xml:space="preserve"> </t>
    </r>
    <r>
      <rPr>
        <b/>
        <sz val="10"/>
        <color indexed="10"/>
        <rFont val="Arial"/>
        <family val="2"/>
      </rPr>
      <t>▼</t>
    </r>
  </si>
  <si>
    <r>
      <t xml:space="preserve">See the </t>
    </r>
    <r>
      <rPr>
        <i/>
        <sz val="10"/>
        <rFont val="Times New Roman"/>
        <family val="1"/>
      </rPr>
      <t>Nutritional Facts</t>
    </r>
    <r>
      <rPr>
        <sz val="10"/>
        <rFont val="Times New Roman"/>
        <family val="1"/>
      </rPr>
      <t xml:space="preserve"> panel given on the tin.</t>
    </r>
  </si>
  <si>
    <r>
      <t xml:space="preserve">See the </t>
    </r>
    <r>
      <rPr>
        <i/>
        <sz val="10"/>
        <rFont val="Times New Roman"/>
        <family val="1"/>
      </rPr>
      <t>Nutritional Facts</t>
    </r>
    <r>
      <rPr>
        <sz val="10"/>
        <rFont val="Times New Roman"/>
        <family val="1"/>
      </rPr>
      <t xml:space="preserve"> panel given on the container.</t>
    </r>
  </si>
  <si>
    <t>Serving size (fl oz)</t>
  </si>
  <si>
    <r>
      <t xml:space="preserve">PECTIC ENZYME </t>
    </r>
    <r>
      <rPr>
        <sz val="10"/>
        <color indexed="10"/>
        <rFont val="Times New Roman"/>
        <family val="1"/>
      </rPr>
      <t>(TO ADD - minimum)</t>
    </r>
  </si>
  <si>
    <r>
      <t>SWEETENING SUGAR</t>
    </r>
    <r>
      <rPr>
        <sz val="10"/>
        <color indexed="10"/>
        <rFont val="Times New Roman"/>
        <family val="1"/>
      </rPr>
      <t xml:space="preserve"> - FOR STILL WINES ONLY, ADD SUGAR SOLN. AFTER STABILIZATION, </t>
    </r>
    <r>
      <rPr>
        <u/>
        <sz val="10"/>
        <color indexed="10"/>
        <rFont val="Times New Roman"/>
        <family val="1"/>
      </rPr>
      <t>DO NOT SWEETEN CIDERS WITH SUGARS</t>
    </r>
    <r>
      <rPr>
        <sz val="10"/>
        <color indexed="10"/>
        <rFont val="Times New Roman"/>
        <family val="1"/>
      </rPr>
      <t>.</t>
    </r>
  </si>
  <si>
    <r>
      <t xml:space="preserve">Use </t>
    </r>
    <r>
      <rPr>
        <u/>
        <sz val="10"/>
        <color indexed="10"/>
        <rFont val="Times New Roman"/>
        <family val="1"/>
      </rPr>
      <t>only</t>
    </r>
    <r>
      <rPr>
        <sz val="10"/>
        <color indexed="10"/>
        <rFont val="Times New Roman"/>
        <family val="1"/>
      </rPr>
      <t xml:space="preserve"> when actual gravities differ from calc's. - which they often do!</t>
    </r>
  </si>
  <si>
    <t>fl oz. (28.99 default)</t>
  </si>
  <si>
    <r>
      <t>Carbonation (Volumes CO</t>
    </r>
    <r>
      <rPr>
        <sz val="8"/>
        <rFont val="Times New Roman"/>
        <family val="1"/>
      </rPr>
      <t>2</t>
    </r>
    <r>
      <rPr>
        <sz val="10"/>
        <rFont val="Times New Roman"/>
        <family val="1"/>
      </rPr>
      <t>)</t>
    </r>
  </si>
  <si>
    <r>
      <t xml:space="preserve">EXTRACT MAX </t>
    </r>
    <r>
      <rPr>
        <sz val="8"/>
        <color rgb="FFFF0000"/>
        <rFont val="Times New Roman"/>
        <family val="1"/>
      </rPr>
      <t>#</t>
    </r>
  </si>
  <si>
    <r>
      <t>Disclaimer</t>
    </r>
    <r>
      <rPr>
        <sz val="9"/>
        <color indexed="23"/>
        <rFont val="Times New Roman"/>
        <family val="1"/>
      </rPr>
      <t xml:space="preserve">: </t>
    </r>
    <r>
      <rPr>
        <sz val="9"/>
        <color indexed="8"/>
        <rFont val="Times New Roman"/>
        <family val="1"/>
      </rPr>
      <t>No responsibility is assumed or implied as a result of using this spreadsheet.</t>
    </r>
  </si>
  <si>
    <t>No responsibility is assumed or implied as a result of using this 'sheet.</t>
  </si>
  <si>
    <r>
      <rPr>
        <b/>
        <u/>
        <sz val="24"/>
        <color indexed="8"/>
        <rFont val="Times New Roman"/>
        <family val="1"/>
      </rPr>
      <t>BJCP B</t>
    </r>
    <r>
      <rPr>
        <b/>
        <u/>
        <sz val="22"/>
        <color indexed="8"/>
        <rFont val="Times New Roman"/>
        <family val="1"/>
      </rPr>
      <t xml:space="preserve">eer </t>
    </r>
    <r>
      <rPr>
        <b/>
        <u/>
        <sz val="24"/>
        <color indexed="8"/>
        <rFont val="Times New Roman"/>
        <family val="1"/>
      </rPr>
      <t>S</t>
    </r>
    <r>
      <rPr>
        <b/>
        <u/>
        <sz val="22"/>
        <color indexed="8"/>
        <rFont val="Times New Roman"/>
        <family val="1"/>
      </rPr>
      <t xml:space="preserve">tyle </t>
    </r>
    <r>
      <rPr>
        <b/>
        <u/>
        <sz val="24"/>
        <color indexed="8"/>
        <rFont val="Times New Roman"/>
        <family val="1"/>
      </rPr>
      <t>G</t>
    </r>
    <r>
      <rPr>
        <b/>
        <u/>
        <sz val="22"/>
        <color indexed="8"/>
        <rFont val="Times New Roman"/>
        <family val="1"/>
      </rPr>
      <t xml:space="preserve">uidlines </t>
    </r>
    <r>
      <rPr>
        <b/>
        <u/>
        <sz val="24"/>
        <color indexed="8"/>
        <rFont val="Times New Roman"/>
        <family val="1"/>
      </rPr>
      <t>(2015)</t>
    </r>
  </si>
  <si>
    <t>This is, of course American, &amp;, of course, far too complex to be of any practical use.</t>
  </si>
  <si>
    <t>Note: 1 EBU = 1 IBU.</t>
  </si>
  <si>
    <t>(Even in this semi-civilized world!)</t>
  </si>
  <si>
    <t>BJCP Categories</t>
  </si>
  <si>
    <t>Sub.</t>
  </si>
  <si>
    <t>Styles</t>
  </si>
  <si>
    <t>Style Family</t>
  </si>
  <si>
    <t>Style History</t>
  </si>
  <si>
    <t>Origin</t>
  </si>
  <si>
    <t>ABV min</t>
  </si>
  <si>
    <t>ABV max</t>
  </si>
  <si>
    <t>IBUs min</t>
  </si>
  <si>
    <t>IBUs max</t>
  </si>
  <si>
    <t>SRM min</t>
  </si>
  <si>
    <t>SRM max</t>
  </si>
  <si>
    <t>OG min</t>
  </si>
  <si>
    <t>OG max</t>
  </si>
  <si>
    <t>FG min</t>
  </si>
  <si>
    <t>FG max</t>
  </si>
  <si>
    <t>1. Standard American Beer</t>
  </si>
  <si>
    <t>A</t>
  </si>
  <si>
    <t>American Light Lager</t>
  </si>
  <si>
    <t>Pale Lager</t>
  </si>
  <si>
    <t>Mass Market Pale Lager</t>
  </si>
  <si>
    <t>United States</t>
  </si>
  <si>
    <t>B</t>
  </si>
  <si>
    <t>American Lager</t>
  </si>
  <si>
    <t>Pale Ale</t>
  </si>
  <si>
    <t>Indigenous American Beer</t>
  </si>
  <si>
    <t>D</t>
  </si>
  <si>
    <t>American Wheat Beer</t>
  </si>
  <si>
    <t>Wheat Beer</t>
  </si>
  <si>
    <t>2. International Lager</t>
  </si>
  <si>
    <t>International Pale Lager</t>
  </si>
  <si>
    <t>International</t>
  </si>
  <si>
    <t>International Amber Lager</t>
  </si>
  <si>
    <t>Amber Lager</t>
  </si>
  <si>
    <t>International Dark Lager</t>
  </si>
  <si>
    <t>Dark Lager</t>
  </si>
  <si>
    <t>3. Czech Lager</t>
  </si>
  <si>
    <t>Czech Pale Lager</t>
  </si>
  <si>
    <t>Pilsner</t>
  </si>
  <si>
    <t>Czech Republic</t>
  </si>
  <si>
    <t>Czech Premium Pale Lager</t>
  </si>
  <si>
    <t>Czech Amber Lager</t>
  </si>
  <si>
    <t>Czech Dark Lager</t>
  </si>
  <si>
    <t>4. Pale Malty European Lager</t>
  </si>
  <si>
    <t>Munich Helles</t>
  </si>
  <si>
    <t>European Pale Lager</t>
  </si>
  <si>
    <t>Germany</t>
  </si>
  <si>
    <t>Festbier</t>
  </si>
  <si>
    <t>5. Pale Bitter European beer</t>
  </si>
  <si>
    <t>German Leichtbier</t>
  </si>
  <si>
    <t>Kölsch</t>
  </si>
  <si>
    <t>Top-Fermented German Lagers</t>
  </si>
  <si>
    <t>German Helles Exportbier</t>
  </si>
  <si>
    <t>German Pils</t>
  </si>
  <si>
    <t>6. Amber Malty European Lager</t>
  </si>
  <si>
    <t>Märzen</t>
  </si>
  <si>
    <t>Rauchbier</t>
  </si>
  <si>
    <t>European Smoked Beer</t>
  </si>
  <si>
    <t>Dunkles Bock</t>
  </si>
  <si>
    <t>7. Amber Bitter European Beer</t>
  </si>
  <si>
    <t>Vienna Lager</t>
  </si>
  <si>
    <t>Altbier</t>
  </si>
  <si>
    <t>Amber Ale</t>
  </si>
  <si>
    <t>Pale Kellerbier</t>
  </si>
  <si>
    <t>Amber Kellerbier</t>
  </si>
  <si>
    <t>8. Dark European Lager</t>
  </si>
  <si>
    <t>9. Strong European Beer</t>
  </si>
  <si>
    <t>Doppelbock</t>
  </si>
  <si>
    <t>Baltic Porter</t>
  </si>
  <si>
    <t>Scandinavia</t>
  </si>
  <si>
    <t>10. German Wheat Beer</t>
  </si>
  <si>
    <t>Weissbier</t>
  </si>
  <si>
    <t>Dunkles Weissbier</t>
  </si>
  <si>
    <t>11. British Bitter</t>
  </si>
  <si>
    <t>Ordinary Bitter</t>
  </si>
  <si>
    <t>England</t>
  </si>
  <si>
    <t>Best Bitter</t>
  </si>
  <si>
    <t>Strong Bitter</t>
  </si>
  <si>
    <t>12. Pale Commonwealth Beer</t>
  </si>
  <si>
    <t>British Golden Ale</t>
  </si>
  <si>
    <t>Pale Ales</t>
  </si>
  <si>
    <t>Australian Sparkling Ale</t>
  </si>
  <si>
    <t>Australian</t>
  </si>
  <si>
    <t>English IPA</t>
  </si>
  <si>
    <t>IPA</t>
  </si>
  <si>
    <t>13. Brown British Beer</t>
  </si>
  <si>
    <t>Dark Mild</t>
  </si>
  <si>
    <t>Brown Ale</t>
  </si>
  <si>
    <t>British Brown Ale</t>
  </si>
  <si>
    <t>English Porter</t>
  </si>
  <si>
    <t>14. Scottish Ale</t>
  </si>
  <si>
    <t>Scottish Light</t>
  </si>
  <si>
    <t>Scotland</t>
  </si>
  <si>
    <t>Scottish Heavy</t>
  </si>
  <si>
    <t>Scottish Export</t>
  </si>
  <si>
    <t>15. Irish Beer</t>
  </si>
  <si>
    <t>Irish Red Ale</t>
  </si>
  <si>
    <t>Ireland</t>
  </si>
  <si>
    <t>Irish Stout</t>
  </si>
  <si>
    <t>Stout</t>
  </si>
  <si>
    <t>Irish Extra Stout</t>
  </si>
  <si>
    <t>16. Dark British Beer</t>
  </si>
  <si>
    <t>English Stout</t>
  </si>
  <si>
    <t>Oatmeal Stout</t>
  </si>
  <si>
    <t>Tropical Stout</t>
  </si>
  <si>
    <t>Foreign Extra Stout</t>
  </si>
  <si>
    <t>17. Strong British Ale</t>
  </si>
  <si>
    <t>British Strong Ale</t>
  </si>
  <si>
    <t>Strong Ale</t>
  </si>
  <si>
    <t>Old Ale</t>
  </si>
  <si>
    <t>Wee Heavy</t>
  </si>
  <si>
    <t>English Barleywine</t>
  </si>
  <si>
    <t>Barleywine</t>
  </si>
  <si>
    <t>18. Pale American Ale</t>
  </si>
  <si>
    <t>Blonde Ale</t>
  </si>
  <si>
    <t>American Pale Ale</t>
  </si>
  <si>
    <t>American Pale Beer</t>
  </si>
  <si>
    <t>19. Amber and Brown American Beer</t>
  </si>
  <si>
    <t>American Amber Ale</t>
  </si>
  <si>
    <t xml:space="preserve">California Common </t>
  </si>
  <si>
    <t>American Brown Ale</t>
  </si>
  <si>
    <t>Dark American Beer</t>
  </si>
  <si>
    <t>20. American Porter and Stout</t>
  </si>
  <si>
    <t>American Porter</t>
  </si>
  <si>
    <t>American Stout</t>
  </si>
  <si>
    <t>21. IPA</t>
  </si>
  <si>
    <t>American IPA</t>
  </si>
  <si>
    <t>Specialty IPA - Belgian IPA</t>
  </si>
  <si>
    <t>American Bitter Beer</t>
  </si>
  <si>
    <t>Specialty IPA - Black IPA</t>
  </si>
  <si>
    <t>Specialty IPA - Brown IPA</t>
  </si>
  <si>
    <t>Specialty IPA - Red IPA</t>
  </si>
  <si>
    <t>Specialty IPA - Rye IPA</t>
  </si>
  <si>
    <t>Specialty IPA - White IPA</t>
  </si>
  <si>
    <t>22. Strong American Ale</t>
  </si>
  <si>
    <t>Double IPA</t>
  </si>
  <si>
    <t>American Strong Ale</t>
  </si>
  <si>
    <t>American Barleywine</t>
  </si>
  <si>
    <t>Wheatwine</t>
  </si>
  <si>
    <t>23. European Sour Ale</t>
  </si>
  <si>
    <t>Berliner Weisse</t>
  </si>
  <si>
    <t>German Sour Ale</t>
  </si>
  <si>
    <t>Flanders Red Ale</t>
  </si>
  <si>
    <t>Sour Ale</t>
  </si>
  <si>
    <t>Belgian Sour Ale</t>
  </si>
  <si>
    <t>Belgium</t>
  </si>
  <si>
    <t>Lambic</t>
  </si>
  <si>
    <t>E</t>
  </si>
  <si>
    <t xml:space="preserve">Gueuze </t>
  </si>
  <si>
    <t>Fruit Lambic</t>
  </si>
  <si>
    <t>24. Belgian Ale</t>
  </si>
  <si>
    <t>Witbier</t>
  </si>
  <si>
    <t>Belgian Pale Ale</t>
  </si>
  <si>
    <t>Bière de Garde</t>
  </si>
  <si>
    <t>European Farmhouse Beer</t>
  </si>
  <si>
    <t>25. Strong Belgian Ale</t>
  </si>
  <si>
    <t>Belgian Blond Ale</t>
  </si>
  <si>
    <t>Belgian Ale</t>
  </si>
  <si>
    <t>Saison</t>
  </si>
  <si>
    <t>Belgian Golden Strong Ale</t>
  </si>
  <si>
    <t>Belgian Strong Ale</t>
  </si>
  <si>
    <t>26. Trappist Ale</t>
  </si>
  <si>
    <t>Trappist Single</t>
  </si>
  <si>
    <t>Belgian Tripel</t>
  </si>
  <si>
    <t>Belgian Dark Strong Ale</t>
  </si>
  <si>
    <t>27. Historical Beer</t>
  </si>
  <si>
    <t>Gose</t>
  </si>
  <si>
    <t>Kentucky Common</t>
  </si>
  <si>
    <t>Lichtenhainer</t>
  </si>
  <si>
    <t>London Brown Ale</t>
  </si>
  <si>
    <t>Piwo Grodziskie</t>
  </si>
  <si>
    <t>Pre-Prohibition Lager</t>
  </si>
  <si>
    <t>Pre-Prohibition Porter</t>
  </si>
  <si>
    <t>Roggenbier</t>
  </si>
  <si>
    <t>Sahti</t>
  </si>
  <si>
    <t>28. American Wild Ale</t>
  </si>
  <si>
    <t>Brett Beer</t>
  </si>
  <si>
    <t>Specialty Beer</t>
  </si>
  <si>
    <t>Variable by base style</t>
  </si>
  <si>
    <t>Mixed-Fermentation Sour Beer</t>
  </si>
  <si>
    <t>Wild Specialty Beer</t>
  </si>
  <si>
    <t>29. Fruit Beer</t>
  </si>
  <si>
    <t>Fruit Beer</t>
  </si>
  <si>
    <t>Vary depending on the underlying base beer, but the fruit will often be reflected in the color</t>
  </si>
  <si>
    <t>Fruit and Spice Beer</t>
  </si>
  <si>
    <t>Specialty Fruit Beer</t>
  </si>
  <si>
    <t>30. Spiced Beer</t>
  </si>
  <si>
    <t>Spice, Herb, or Vegetable Beer</t>
  </si>
  <si>
    <t>Vary depending on the underlying base beer</t>
  </si>
  <si>
    <t>Autumn Seasonal Beer</t>
  </si>
  <si>
    <t>Vary depending on the underlying base beer. ABV is generally above 5%, and most examples are somewhat amber-copper in color</t>
  </si>
  <si>
    <t>Winter Seasonal Beer</t>
  </si>
  <si>
    <t>Vary depending on the underlying base beer. ABV is generally above 6%, and most examples are somewhat dark in color</t>
  </si>
  <si>
    <t>31. Alternative Fermentables Beer</t>
  </si>
  <si>
    <t>Alternative Grain Beer</t>
  </si>
  <si>
    <t>Alternative Sugar Beer</t>
  </si>
  <si>
    <t>32. Smoked Beer</t>
  </si>
  <si>
    <t>Classic Style Smoked Beer</t>
  </si>
  <si>
    <t>Varies with the base beer style</t>
  </si>
  <si>
    <t>Specialty Smoked Beer</t>
  </si>
  <si>
    <t>33. Wood Beer</t>
  </si>
  <si>
    <t>Wood-Aged Beer</t>
  </si>
  <si>
    <t>Varies with base style, typically above-average</t>
  </si>
  <si>
    <t>Specialty Wood-Aged Beer</t>
  </si>
  <si>
    <t>34. Specialty Beer</t>
  </si>
  <si>
    <t>Clone Beer</t>
  </si>
  <si>
    <t>Vary depending on the declared beer</t>
  </si>
  <si>
    <t>Mixed-Style Beer</t>
  </si>
  <si>
    <t>Experimental Beer</t>
  </si>
  <si>
    <t>BU ̸ GU Ratio - Bitterness Unit (EBU) ̸ Gravity Unit (OG) Ratio</t>
  </si>
  <si>
    <t>Where:-</t>
  </si>
  <si>
    <t>is 0.65-0.80</t>
  </si>
  <si>
    <t>is 0.55-0.65</t>
  </si>
  <si>
    <t>Note the cuvette sizes.</t>
  </si>
  <si>
    <t>is 0.45-0.55</t>
  </si>
  <si>
    <t>is 0.35-0.45</t>
  </si>
  <si>
    <t>is 0.25-0.35</t>
  </si>
  <si>
    <r>
      <rPr>
        <b/>
        <sz val="11"/>
        <color indexed="10"/>
        <rFont val="Times New Roman"/>
        <family val="1"/>
      </rPr>
      <t>Disclaim</t>
    </r>
    <r>
      <rPr>
        <b/>
        <sz val="11"/>
        <color rgb="FFFF0000"/>
        <rFont val="Times New Roman"/>
        <family val="1"/>
      </rPr>
      <t>er:</t>
    </r>
    <r>
      <rPr>
        <sz val="11"/>
        <color rgb="FFFF0000"/>
        <rFont val="Times New Roman"/>
        <family val="1"/>
      </rPr>
      <t xml:space="preserve"> </t>
    </r>
    <r>
      <rPr>
        <sz val="11"/>
        <color indexed="8"/>
        <rFont val="Times New Roman"/>
        <family val="1"/>
      </rPr>
      <t>E&amp;OE. No responsibility is assumed or implied as a result of u</t>
    </r>
    <r>
      <rPr>
        <sz val="11"/>
        <rFont val="Times New Roman"/>
        <family val="1"/>
      </rPr>
      <t>sing this spreadsheet.</t>
    </r>
  </si>
  <si>
    <t>James' Acid Calculator</t>
  </si>
  <si>
    <t>Some Typical Wine Parameters</t>
  </si>
  <si>
    <t>Wine Type</t>
  </si>
  <si>
    <t>Dry White Table</t>
  </si>
  <si>
    <t>Dry Red Table</t>
  </si>
  <si>
    <t>Rose Table</t>
  </si>
  <si>
    <t>Sweet White</t>
  </si>
  <si>
    <t>Sweet Red</t>
  </si>
  <si>
    <t>Dessert (Fruit)</t>
  </si>
  <si>
    <t>Dessert (Port)</t>
  </si>
  <si>
    <t>% Acid of Must (As Tartaric Acid)</t>
  </si>
  <si>
    <t>0.35 - 0.55</t>
  </si>
  <si>
    <t>0.35 - 0.5</t>
  </si>
  <si>
    <t>0.45 - 0.6</t>
  </si>
  <si>
    <t>0.35 - 0.6</t>
  </si>
  <si>
    <t>0.25 - 0.5</t>
  </si>
  <si>
    <t>0.4 - 0.5</t>
  </si>
  <si>
    <t>0.25 - 0.35</t>
  </si>
  <si>
    <t>% Acid of Finished Wine (As Tartaric Acid)</t>
  </si>
  <si>
    <t>0.50 - 0.70</t>
  </si>
  <si>
    <t>0.50 - 0.65</t>
  </si>
  <si>
    <t>0.60 - 0.75</t>
  </si>
  <si>
    <t>0.5 - 0.75</t>
  </si>
  <si>
    <t>0.40 - 0.65</t>
  </si>
  <si>
    <t>0.55 - 0.65</t>
  </si>
  <si>
    <t>0.40 - 0.50</t>
  </si>
  <si>
    <t>Insert your own figures</t>
  </si>
  <si>
    <t>Calculated Values</t>
  </si>
  <si>
    <t>Adjusting Acidity Following Titration</t>
  </si>
  <si>
    <t>Strength of NaOH</t>
  </si>
  <si>
    <t>ml of wine / must tested</t>
  </si>
  <si>
    <t>Volume of wine / must</t>
  </si>
  <si>
    <t>ml of NaOH used to neutralise wine / must</t>
  </si>
  <si>
    <t>Desired acidity of wine (as % tartaric)</t>
  </si>
  <si>
    <t>moles of NaOH to neutralise test sample</t>
  </si>
  <si>
    <t>moles</t>
  </si>
  <si>
    <t>moles of NaOH to neutralise 100ml</t>
  </si>
  <si>
    <t>moles of NaOH to neutralise volume of wine</t>
  </si>
  <si>
    <t>moles of acid in test sample</t>
  </si>
  <si>
    <t>moles of acid in 100ml</t>
  </si>
  <si>
    <t>moles of acid in volume of wine</t>
  </si>
  <si>
    <t>Acidity as % sulphuric acid</t>
  </si>
  <si>
    <t>Acidity as % tartaric acid</t>
  </si>
  <si>
    <t>Desired acidity as tartaric (number of moles acid per 100ml)</t>
  </si>
  <si>
    <t>Excess in acidity of wine (as tartaric)</t>
  </si>
  <si>
    <t>Shortfall in acidity of wine (as tartaric)</t>
  </si>
  <si>
    <t>To Increase Acidity to Desired Level Add</t>
  </si>
  <si>
    <t>Tartaric Acid OR</t>
  </si>
  <si>
    <t>Citric Acid OR</t>
  </si>
  <si>
    <t>Malic Acid</t>
  </si>
  <si>
    <t>To Decrease Acidity to Desired Level Add</t>
  </si>
  <si>
    <r>
      <t>Precipitated Chalk (CaCO</t>
    </r>
    <r>
      <rPr>
        <vertAlign val="subscript"/>
        <sz val="10"/>
        <rFont val="Arial"/>
        <family val="2"/>
      </rPr>
      <t>3</t>
    </r>
    <r>
      <rPr>
        <sz val="11"/>
        <rFont val="Times New Roman"/>
        <family val="1"/>
      </rPr>
      <t>)</t>
    </r>
  </si>
  <si>
    <r>
      <t>Potassium Bicarbonate (KHCO</t>
    </r>
    <r>
      <rPr>
        <sz val="6"/>
        <rFont val="Arial"/>
        <family val="2"/>
      </rPr>
      <t>3</t>
    </r>
    <r>
      <rPr>
        <sz val="11"/>
        <rFont val="Times New Roman"/>
        <family val="1"/>
      </rPr>
      <t>)</t>
    </r>
  </si>
  <si>
    <r>
      <t>Sodium Bicarbonate (NaHCO</t>
    </r>
    <r>
      <rPr>
        <sz val="6"/>
        <rFont val="Arial"/>
        <family val="2"/>
      </rPr>
      <t>3</t>
    </r>
    <r>
      <rPr>
        <sz val="11"/>
        <rFont val="Times New Roman"/>
        <family val="1"/>
      </rPr>
      <t>)</t>
    </r>
  </si>
  <si>
    <t>jamesbsmith@hotmail.com</t>
  </si>
  <si>
    <r>
      <t>Disclaimer</t>
    </r>
    <r>
      <rPr>
        <sz val="10"/>
        <color rgb="FF808080"/>
        <rFont val="Arial"/>
        <family val="2"/>
      </rPr>
      <t xml:space="preserve">: </t>
    </r>
    <r>
      <rPr>
        <sz val="10"/>
        <color rgb="FF000000"/>
        <rFont val="Arial"/>
        <family val="2"/>
      </rPr>
      <t>No responsibility is assumed or implied as a result of using this spreadsheet.</t>
    </r>
  </si>
  <si>
    <t>Jame's Acid Calculator</t>
  </si>
  <si>
    <t>Metric Only!</t>
  </si>
  <si>
    <r>
      <rPr>
        <b/>
        <sz val="11"/>
        <rFont val="Times New Roman"/>
        <family val="1"/>
      </rPr>
      <t>°</t>
    </r>
    <r>
      <rPr>
        <b/>
        <sz val="10"/>
        <rFont val="Times New Roman"/>
        <family val="1"/>
      </rPr>
      <t xml:space="preserve">C </t>
    </r>
  </si>
  <si>
    <r>
      <rPr>
        <sz val="12"/>
        <color rgb="FF7F7F7F"/>
        <rFont val="Times New Roman"/>
        <family val="1"/>
      </rPr>
      <t>°</t>
    </r>
    <r>
      <rPr>
        <sz val="10"/>
        <color rgb="FF7F7F7F"/>
        <rFont val="Times New Roman"/>
        <family val="1"/>
      </rPr>
      <t xml:space="preserve">F </t>
    </r>
  </si>
  <si>
    <t>Simple ABV Estimator</t>
  </si>
  <si>
    <t xml:space="preserve">Original Gravity </t>
  </si>
  <si>
    <r>
      <rPr>
        <b/>
        <sz val="10"/>
        <color indexed="8"/>
        <rFont val="Times New Roman"/>
        <family val="1"/>
      </rPr>
      <t>OG</t>
    </r>
    <r>
      <rPr>
        <sz val="10"/>
        <color indexed="8"/>
        <rFont val="Times New Roman"/>
        <family val="1"/>
      </rPr>
      <t xml:space="preserve"> Measured</t>
    </r>
  </si>
  <si>
    <t>Temperatures are NOT taken into considaration in these two calc's.</t>
  </si>
  <si>
    <r>
      <rPr>
        <b/>
        <sz val="10"/>
        <color indexed="8"/>
        <rFont val="Times New Roman"/>
        <family val="1"/>
      </rPr>
      <t>OG</t>
    </r>
    <r>
      <rPr>
        <sz val="10"/>
        <color indexed="8"/>
        <rFont val="Times New Roman"/>
        <family val="1"/>
      </rPr>
      <t xml:space="preserve"> Corrected</t>
    </r>
  </si>
  <si>
    <t xml:space="preserve">Calibration Temp. </t>
  </si>
  <si>
    <r>
      <rPr>
        <b/>
        <sz val="10"/>
        <color indexed="8"/>
        <rFont val="Times New Roman"/>
        <family val="1"/>
      </rPr>
      <t>FG</t>
    </r>
    <r>
      <rPr>
        <sz val="10"/>
        <color indexed="8"/>
        <rFont val="Times New Roman"/>
        <family val="1"/>
      </rPr>
      <t xml:space="preserve"> Measured</t>
    </r>
  </si>
  <si>
    <r>
      <rPr>
        <b/>
        <sz val="10"/>
        <color indexed="8"/>
        <rFont val="Times New Roman"/>
        <family val="1"/>
      </rPr>
      <t>FG</t>
    </r>
    <r>
      <rPr>
        <sz val="10"/>
        <color indexed="8"/>
        <rFont val="Times New Roman"/>
        <family val="1"/>
      </rPr>
      <t xml:space="preserve"> Corrected</t>
    </r>
  </si>
  <si>
    <t>Refractometer Calibration</t>
  </si>
  <si>
    <t>Calibrated Hydrometer Reading</t>
  </si>
  <si>
    <t>The Baumé scale is used to measure liquid density. SG's below zero can not be catered for.</t>
  </si>
  <si>
    <t>Hydrometers</t>
  </si>
  <si>
    <r>
      <t>CALORIE/UNIT COUNTER</t>
    </r>
    <r>
      <rPr>
        <sz val="9"/>
        <rFont val="Times New Roman"/>
        <family val="1"/>
      </rPr>
      <t xml:space="preserve"> </t>
    </r>
    <r>
      <rPr>
        <sz val="9"/>
        <color indexed="10"/>
        <rFont val="Times New Roman"/>
        <family val="1"/>
      </rPr>
      <t xml:space="preserve"> (Mainly for diabetes suffers. All figures are approximate.)</t>
    </r>
  </si>
  <si>
    <t>Calories from the residual sugar</t>
  </si>
  <si>
    <r>
      <t xml:space="preserve">▼ </t>
    </r>
    <r>
      <rPr>
        <sz val="9"/>
        <color indexed="10"/>
        <rFont val="Times New Roman"/>
        <family val="1"/>
      </rPr>
      <t xml:space="preserve">Technically rhubarb is a vegetable. DO NOT USE ALUMINIUM utensils as the acids present in this vegetable will react with these &amp; may ultimately lead to Alzheimer's disease. </t>
    </r>
  </si>
  <si>
    <t>Serving size</t>
  </si>
  <si>
    <t xml:space="preserve"> sugar/serving</t>
  </si>
  <si>
    <t xml:space="preserve"> carbs/serving</t>
  </si>
  <si>
    <r>
      <rPr>
        <sz val="10"/>
        <color rgb="FFFF0000"/>
        <rFont val="Times New Roman"/>
        <family val="1"/>
      </rPr>
      <t>#</t>
    </r>
    <r>
      <rPr>
        <sz val="10"/>
        <rFont val="Times New Roman"/>
        <family val="1"/>
      </rPr>
      <t xml:space="preserve"> "Extract Max" refers to "Sold As" figures as opposed to "Dry" which can be typically 3-8% higher owing to the lower moisture content.
Colours are "mid-range" figures &amp; can easily vary by 15% or more.
Every manufacturer seems to give different figures for the same "product"!</t>
    </r>
  </si>
  <si>
    <t xml:space="preserve">    Denotes "editable" cells, add your own data.</t>
  </si>
  <si>
    <t>The UK Government recommended units of alcohol per week is 14 for both &amp; for men.</t>
  </si>
  <si>
    <t>This equates to 2 units per day.</t>
  </si>
  <si>
    <t>Nutrient &amp; Vitamin Section</t>
  </si>
  <si>
    <t>Any red figures denote deficiencies</t>
  </si>
  <si>
    <r>
      <t>UK</t>
    </r>
    <r>
      <rPr>
        <b/>
        <sz val="11"/>
        <color indexed="10"/>
        <rFont val="Times New Roman"/>
        <family val="1"/>
      </rPr>
      <t>°</t>
    </r>
  </si>
  <si>
    <t xml:space="preserve">DE KONINCK </t>
  </si>
  <si>
    <t>7</t>
  </si>
  <si>
    <t>9</t>
  </si>
  <si>
    <t xml:space="preserve">WATNEY’S RED BARREL </t>
  </si>
  <si>
    <r>
      <rPr>
        <sz val="11"/>
        <color indexed="8"/>
        <rFont val="Times New Roman"/>
        <family val="1"/>
      </rPr>
      <t>°</t>
    </r>
    <r>
      <rPr>
        <sz val="10"/>
        <color indexed="8"/>
        <rFont val="Times New Roman"/>
        <family val="1"/>
      </rPr>
      <t>Brix / Plato / Balling</t>
    </r>
  </si>
  <si>
    <r>
      <rPr>
        <sz val="11"/>
        <color indexed="8"/>
        <rFont val="Times New Roman"/>
        <family val="1"/>
      </rPr>
      <t>°</t>
    </r>
    <r>
      <rPr>
        <sz val="10"/>
        <color indexed="8"/>
        <rFont val="Times New Roman"/>
        <family val="1"/>
      </rPr>
      <t>Baumé</t>
    </r>
  </si>
  <si>
    <r>
      <t>Brix, Plato &amp; Balling are all scales of sweetness based on sucrose solutions. They all give very similar results, to within a few decimal places &amp; therefore can be assumed to be the same for our purposes. The minimum amount of "sugar" that can be added is zero, hence the minimum value of the three scales is also zero. Generally, 1</t>
    </r>
    <r>
      <rPr>
        <sz val="11"/>
        <color indexed="8"/>
        <rFont val="Times New Roman"/>
        <family val="1"/>
      </rPr>
      <t>°</t>
    </r>
    <r>
      <rPr>
        <sz val="10"/>
        <color indexed="8"/>
        <rFont val="Times New Roman"/>
        <family val="1"/>
      </rPr>
      <t xml:space="preserve">P is considered as 1004 SG. </t>
    </r>
  </si>
  <si>
    <r>
      <t>Proof</t>
    </r>
    <r>
      <rPr>
        <sz val="11"/>
        <color indexed="8"/>
        <rFont val="Times New Roman"/>
        <family val="1"/>
      </rPr>
      <t>°</t>
    </r>
  </si>
  <si>
    <r>
      <t>Corrected Reading (</t>
    </r>
    <r>
      <rPr>
        <sz val="11"/>
        <color indexed="8"/>
        <rFont val="Times New Roman"/>
        <family val="1"/>
      </rPr>
      <t>°</t>
    </r>
    <r>
      <rPr>
        <sz val="10"/>
        <color indexed="8"/>
        <rFont val="Times New Roman"/>
        <family val="1"/>
      </rPr>
      <t>Brix)</t>
    </r>
  </si>
  <si>
    <r>
      <t>Refractometer Reading (</t>
    </r>
    <r>
      <rPr>
        <sz val="11"/>
        <rFont val="Times New Roman"/>
        <family val="1"/>
      </rPr>
      <t>°</t>
    </r>
    <r>
      <rPr>
        <sz val="10"/>
        <rFont val="Times New Roman"/>
        <family val="1"/>
      </rPr>
      <t>Brix)</t>
    </r>
  </si>
  <si>
    <r>
      <t>Kg / m</t>
    </r>
    <r>
      <rPr>
        <sz val="11"/>
        <color indexed="8"/>
        <rFont val="Times New Roman"/>
        <family val="1"/>
      </rPr>
      <t>³</t>
    </r>
    <r>
      <rPr>
        <sz val="10"/>
        <color indexed="8"/>
        <rFont val="Times New Roman"/>
        <family val="1"/>
      </rPr>
      <t xml:space="preserve"> </t>
    </r>
  </si>
  <si>
    <r>
      <rPr>
        <sz val="11"/>
        <rFont val="Times New Roman"/>
        <family val="1"/>
      </rPr>
      <t>°</t>
    </r>
    <r>
      <rPr>
        <sz val="10"/>
        <rFont val="Times New Roman"/>
        <family val="1"/>
      </rPr>
      <t>C (Max. 30)</t>
    </r>
  </si>
  <si>
    <r>
      <t xml:space="preserve">  </t>
    </r>
    <r>
      <rPr>
        <u/>
        <sz val="10"/>
        <color rgb="FF00B050"/>
        <rFont val="Times New Roman"/>
        <family val="1"/>
      </rPr>
      <t>US measures</t>
    </r>
  </si>
  <si>
    <t xml:space="preserve">    Insert your own figures in the blue &amp; green  boxes.</t>
  </si>
  <si>
    <r>
      <rPr>
        <sz val="11"/>
        <color indexed="8"/>
        <rFont val="Times New Roman"/>
        <family val="1"/>
      </rPr>
      <t>°</t>
    </r>
    <r>
      <rPr>
        <sz val="10"/>
        <color indexed="8"/>
        <rFont val="Times New Roman"/>
        <family val="1"/>
      </rPr>
      <t>C (Max. 30)</t>
    </r>
  </si>
  <si>
    <t>(No grain, metric units only)</t>
  </si>
  <si>
    <t>Three Methods - 1a, 1b &amp; 2</t>
  </si>
  <si>
    <t>A "stand-alone" calculator (3 methods - 1a, 1b &amp; 2)</t>
  </si>
  <si>
    <t>Beer Styles</t>
  </si>
  <si>
    <t>Metric, Imperial &amp; US units are given</t>
  </si>
  <si>
    <t>More typical beer styles carbonation levels</t>
  </si>
  <si>
    <t>Generally 40% is considered the Max., equiv. to 30% by weight if using malt.</t>
  </si>
  <si>
    <r>
      <t xml:space="preserve">Old weight </t>
    </r>
    <r>
      <rPr>
        <sz val="10"/>
        <color rgb="FFFF0000"/>
        <rFont val="Times New Roman"/>
        <family val="1"/>
      </rPr>
      <t>(oz / g)</t>
    </r>
  </si>
  <si>
    <r>
      <t xml:space="preserve">New weight </t>
    </r>
    <r>
      <rPr>
        <sz val="10"/>
        <color rgb="FFFF0000"/>
        <rFont val="Times New Roman"/>
        <family val="1"/>
      </rPr>
      <t>(oz / g)</t>
    </r>
  </si>
  <si>
    <t>Apparent</t>
  </si>
  <si>
    <t>Attenuation %</t>
  </si>
  <si>
    <r>
      <t>Beer Yeasts</t>
    </r>
    <r>
      <rPr>
        <sz val="10"/>
        <rFont val="Times New Roman"/>
        <family val="1"/>
      </rPr>
      <t xml:space="preserve"> (Editable)</t>
    </r>
  </si>
  <si>
    <r>
      <rPr>
        <b/>
        <u/>
        <sz val="9"/>
        <color indexed="8"/>
        <rFont val="Times New Roman"/>
        <family val="1"/>
      </rPr>
      <t>Volume Converters</t>
    </r>
    <r>
      <rPr>
        <sz val="8"/>
        <color indexed="8"/>
        <rFont val="Times New Roman"/>
        <family val="1"/>
      </rPr>
      <t xml:space="preserve"> </t>
    </r>
    <r>
      <rPr>
        <sz val="9"/>
        <color indexed="55"/>
        <rFont val="Times New Roman"/>
        <family val="1"/>
      </rPr>
      <t>(Approx. Figures)</t>
    </r>
  </si>
  <si>
    <r>
      <t>"Brewers degrees" = (SG-1000)</t>
    </r>
    <r>
      <rPr>
        <sz val="11"/>
        <rFont val="Times New Roman"/>
        <family val="1"/>
      </rPr>
      <t>°</t>
    </r>
    <r>
      <rPr>
        <sz val="10"/>
        <rFont val="Times New Roman"/>
        <family val="1"/>
      </rPr>
      <t>. Example: a SG of 993 is represented by (993-1000 )</t>
    </r>
    <r>
      <rPr>
        <sz val="11"/>
        <rFont val="Times New Roman"/>
        <family val="1"/>
      </rPr>
      <t xml:space="preserve">° </t>
    </r>
    <r>
      <rPr>
        <sz val="10"/>
        <rFont val="Times New Roman"/>
        <family val="1"/>
      </rPr>
      <t>=</t>
    </r>
    <r>
      <rPr>
        <sz val="10"/>
        <color rgb="FFFF0000"/>
        <rFont val="Times New Roman"/>
        <family val="1"/>
      </rPr>
      <t xml:space="preserve"> -7</t>
    </r>
    <r>
      <rPr>
        <sz val="11"/>
        <color rgb="FFFF0000"/>
        <rFont val="Times New Roman"/>
        <family val="1"/>
      </rPr>
      <t>°</t>
    </r>
  </si>
  <si>
    <r>
      <t xml:space="preserve">NOTE:- Very </t>
    </r>
    <r>
      <rPr>
        <u/>
        <sz val="10"/>
        <color indexed="10"/>
        <rFont val="Times New Roman"/>
        <family val="1"/>
      </rPr>
      <t>inaccurate</t>
    </r>
    <r>
      <rPr>
        <sz val="10"/>
        <color indexed="10"/>
        <rFont val="Times New Roman"/>
        <family val="1"/>
      </rPr>
      <t xml:space="preserve"> for ABV's. &gt; 80.</t>
    </r>
  </si>
  <si>
    <t>litres gives</t>
  </si>
  <si>
    <t>Using the easier "brewers degrees"</t>
  </si>
  <si>
    <t>BITTERNESS v GRAVITY</t>
  </si>
  <si>
    <r>
      <t>Yeast Efficiency %</t>
    </r>
    <r>
      <rPr>
        <sz val="9"/>
        <rFont val="Times New Roman"/>
        <family val="1"/>
      </rPr>
      <t xml:space="preserve"> (atten)</t>
    </r>
  </si>
  <si>
    <r>
      <t xml:space="preserve">Isomerised hop extract calculation based on Ritchie Products figures.  </t>
    </r>
    <r>
      <rPr>
        <sz val="10"/>
        <color indexed="10"/>
        <rFont val="Times New Roman"/>
        <family val="1"/>
      </rPr>
      <t xml:space="preserve">Do not boil hop extract!    </t>
    </r>
  </si>
  <si>
    <t xml:space="preserve">Why bother with the usless refractometer in the first place?? </t>
  </si>
  <si>
    <t>MY notes:-</t>
  </si>
  <si>
    <t>Tart.</t>
  </si>
  <si>
    <t>Calibration temperatures &amp; wort/must temperatures are taken into account for all SG readings for the greatest accuracy.</t>
  </si>
  <si>
    <t>UK &amp; US volume converters are given here.</t>
  </si>
  <si>
    <t>Default zoom setting = 70%</t>
  </si>
  <si>
    <t>COLOUR EFFCY %</t>
  </si>
  <si>
    <t>Invert sugars - SOLID &amp; LIQUID are the same when DILUTED????</t>
  </si>
  <si>
    <r>
      <t xml:space="preserve">Total "sugars" </t>
    </r>
    <r>
      <rPr>
        <sz val="10"/>
        <color rgb="FFFF99CC"/>
        <rFont val="Times New Roman"/>
        <family val="1"/>
      </rPr>
      <t>(inc. primer)</t>
    </r>
  </si>
  <si>
    <t xml:space="preserve">     Metric</t>
  </si>
  <si>
    <t>Unit Wt.</t>
  </si>
  <si>
    <t>FERMENTABLES</t>
  </si>
  <si>
    <r>
      <t>Wt.</t>
    </r>
    <r>
      <rPr>
        <sz val="8"/>
        <color indexed="8"/>
        <rFont val="Times New Roman"/>
        <family val="1"/>
      </rPr>
      <t xml:space="preserve"> </t>
    </r>
    <r>
      <rPr>
        <sz val="10"/>
        <color indexed="8"/>
        <rFont val="Times New Roman"/>
        <family val="1"/>
      </rPr>
      <t xml:space="preserve">g  OR </t>
    </r>
    <r>
      <rPr>
        <sz val="8"/>
        <color indexed="8"/>
        <rFont val="Times New Roman"/>
        <family val="1"/>
      </rPr>
      <t xml:space="preserve"> </t>
    </r>
    <r>
      <rPr>
        <sz val="10"/>
        <color indexed="8"/>
        <rFont val="Times New Roman"/>
        <family val="1"/>
      </rPr>
      <t>Kg</t>
    </r>
  </si>
  <si>
    <t>VOL.</t>
  </si>
  <si>
    <t xml:space="preserve"> lb.     oz</t>
  </si>
  <si>
    <r>
      <t>Carbonation (Vol CO</t>
    </r>
    <r>
      <rPr>
        <sz val="8"/>
        <rFont val="Times New Roman"/>
        <family val="1"/>
      </rPr>
      <t>2</t>
    </r>
    <r>
      <rPr>
        <sz val="10"/>
        <rFont val="Times New Roman"/>
        <family val="1"/>
      </rPr>
      <t>)</t>
    </r>
  </si>
  <si>
    <t>See more converters.</t>
  </si>
  <si>
    <r>
      <t>*</t>
    </r>
    <r>
      <rPr>
        <sz val="10"/>
        <color theme="0" tint="-0.499984740745262"/>
        <rFont val="Times New Roman"/>
        <family val="1"/>
      </rPr>
      <t>150g banana flesh is approx. 1 ripe banana 180mm long, skin 50g, by MY measurement, some bananas</t>
    </r>
    <r>
      <rPr>
        <i/>
        <sz val="10"/>
        <color theme="0" tint="-0.499984740745262"/>
        <rFont val="Times New Roman"/>
        <family val="1"/>
      </rPr>
      <t xml:space="preserve"> may </t>
    </r>
    <r>
      <rPr>
        <sz val="10"/>
        <color theme="0" tint="-0.499984740745262"/>
        <rFont val="Times New Roman"/>
        <family val="1"/>
      </rPr>
      <t>differ (</t>
    </r>
    <r>
      <rPr>
        <b/>
        <sz val="10"/>
        <color theme="0" tint="-0.499984740745262"/>
        <rFont val="Times New Roman"/>
        <family val="1"/>
      </rPr>
      <t>a lot</t>
    </r>
    <r>
      <rPr>
        <sz val="10"/>
        <color theme="0" tint="-0.499984740745262"/>
        <rFont val="Times New Roman"/>
        <family val="1"/>
      </rPr>
      <t>).</t>
    </r>
  </si>
  <si>
    <t xml:space="preserve">litre(s) gives </t>
  </si>
  <si>
    <t>Default zoom setting. = 100%</t>
  </si>
  <si>
    <r>
      <t>Hallertauer</t>
    </r>
    <r>
      <rPr>
        <sz val="10"/>
        <color rgb="FFFF0000"/>
        <rFont val="Times New Roman"/>
        <family val="1"/>
      </rPr>
      <t xml:space="preserve"> ("German")</t>
    </r>
  </si>
  <si>
    <r>
      <t>Hallertauer</t>
    </r>
    <r>
      <rPr>
        <sz val="10"/>
        <color rgb="FFFF0000"/>
        <rFont val="Times New Roman"/>
        <family val="1"/>
      </rPr>
      <t xml:space="preserve"> ("Pacific")</t>
    </r>
  </si>
  <si>
    <r>
      <t xml:space="preserve">Hallertauer </t>
    </r>
    <r>
      <rPr>
        <sz val="10"/>
        <color rgb="FFFF0000"/>
        <rFont val="Times New Roman"/>
        <family val="1"/>
      </rPr>
      <t>("German")</t>
    </r>
  </si>
  <si>
    <r>
      <t xml:space="preserve">Hallertauer </t>
    </r>
    <r>
      <rPr>
        <sz val="10"/>
        <color rgb="FFFF0000"/>
        <rFont val="Times New Roman"/>
        <family val="1"/>
      </rPr>
      <t>("Pacific")</t>
    </r>
  </si>
  <si>
    <r>
      <t>Hallertauer (</t>
    </r>
    <r>
      <rPr>
        <sz val="10"/>
        <color indexed="10"/>
        <rFont val="Times New Roman"/>
        <family val="1"/>
      </rPr>
      <t>"Germa</t>
    </r>
    <r>
      <rPr>
        <sz val="10"/>
        <color rgb="FFFF0000"/>
        <rFont val="Times New Roman"/>
        <family val="1"/>
      </rPr>
      <t>n")</t>
    </r>
  </si>
  <si>
    <r>
      <t>Hallertauer (</t>
    </r>
    <r>
      <rPr>
        <sz val="10"/>
        <color indexed="10"/>
        <rFont val="Times New Roman"/>
        <family val="1"/>
      </rPr>
      <t>"Pacific</t>
    </r>
    <r>
      <rPr>
        <sz val="10"/>
        <color rgb="FFFF0000"/>
        <rFont val="Times New Roman"/>
        <family val="1"/>
      </rPr>
      <t>")</t>
    </r>
  </si>
  <si>
    <t>Not lb &amp; oz but lb OR oz OR just g</t>
  </si>
  <si>
    <t xml:space="preserve">Isomerised hop extract calculation based on Ritchie Products figures.  </t>
  </si>
  <si>
    <t>ae160</t>
  </si>
  <si>
    <t>For a</t>
  </si>
  <si>
    <t>1 level tsp sugar =</t>
  </si>
  <si>
    <t>byo.com</t>
  </si>
  <si>
    <t>PALE malt to liquid ̸ dry ext. wt.</t>
  </si>
  <si>
    <t xml:space="preserve">Liquid ̸ dry malt extract wt. </t>
  </si>
  <si>
    <r>
      <t>Malt</t>
    </r>
    <r>
      <rPr>
        <sz val="10"/>
        <rFont val="Times New Roman"/>
        <family val="1"/>
      </rPr>
      <t xml:space="preserve"> Wt.</t>
    </r>
  </si>
  <si>
    <t>Ext. wt.</t>
  </si>
  <si>
    <t xml:space="preserve">              (Assume 1 tsp nut. &amp; 1 Vit B tablet is eqiv. to 1 tsp "Energiser") </t>
  </si>
  <si>
    <t xml:space="preserve"> lb.            oz</t>
  </si>
  <si>
    <t>oz / Imperial pint</t>
  </si>
  <si>
    <t>oz / US  pint</t>
  </si>
  <si>
    <r>
      <t>Volumes CO</t>
    </r>
    <r>
      <rPr>
        <sz val="8"/>
        <rFont val="Times New Roman"/>
        <family val="1"/>
      </rPr>
      <t>2</t>
    </r>
  </si>
  <si>
    <t>Carbonation</t>
  </si>
  <si>
    <r>
      <t xml:space="preserve">wt. </t>
    </r>
    <r>
      <rPr>
        <sz val="10"/>
        <color rgb="FFFF0000"/>
        <rFont val="Times New Roman"/>
        <family val="1"/>
      </rPr>
      <t>(lb or oz or g</t>
    </r>
    <r>
      <rPr>
        <sz val="10"/>
        <rFont val="Times New Roman"/>
        <family val="1"/>
      </rPr>
      <t>)</t>
    </r>
  </si>
  <si>
    <t xml:space="preserve"> This latter figure includes left-over pulp, "wastage" &amp; an allowance for any sweetening sugars used.</t>
  </si>
  <si>
    <t>Dependant on cell C25</t>
  </si>
  <si>
    <r>
      <t xml:space="preserve">Bitterness </t>
    </r>
    <r>
      <rPr>
        <sz val="11"/>
        <color indexed="60"/>
        <rFont val="Times New Roman"/>
        <family val="1"/>
      </rPr>
      <t xml:space="preserve">- OR Method (1b) </t>
    </r>
  </si>
  <si>
    <t xml:space="preserve">    add your own data.      </t>
  </si>
  <si>
    <t>Generally 40% is considered the Max., equiv. to 30% by wt if using malt.</t>
  </si>
  <si>
    <t>(Hops boiled with any coloured malts only)</t>
  </si>
  <si>
    <t xml:space="preserve">Hops boiled with any </t>
  </si>
  <si>
    <t>(Any sugars added after the boil)</t>
  </si>
  <si>
    <t>Any sugars added</t>
  </si>
  <si>
    <t>(Any sugars added after the boil - METHOD 1a)</t>
  </si>
  <si>
    <t>(Any sugars added at start of the boil - METHOD 1b)</t>
  </si>
  <si>
    <t>(Any sugars added at start of the boil)</t>
  </si>
  <si>
    <t>For more info. about "cabonation" see the "Beer Primer" page.</t>
  </si>
  <si>
    <t>See cells L103 etc. for the Isomerised hop extract settings.</t>
  </si>
  <si>
    <r>
      <t>Hops boiled just with all the "malts"</t>
    </r>
    <r>
      <rPr>
        <sz val="9"/>
        <color rgb="FF7030A0"/>
        <rFont val="Times New Roman"/>
        <family val="1"/>
      </rPr>
      <t xml:space="preserve"> </t>
    </r>
    <r>
      <rPr>
        <b/>
        <sz val="9"/>
        <color rgb="FF7030A0"/>
        <rFont val="Times New Roman"/>
        <family val="1"/>
      </rPr>
      <t>(</t>
    </r>
    <r>
      <rPr>
        <b/>
        <sz val="9"/>
        <color rgb="FFCC66FF"/>
        <rFont val="Times New Roman"/>
        <family val="1"/>
      </rPr>
      <t>1a)</t>
    </r>
    <r>
      <rPr>
        <sz val="9"/>
        <color indexed="20"/>
        <rFont val="Times New Roman"/>
        <family val="1"/>
      </rPr>
      <t xml:space="preserve"> </t>
    </r>
    <r>
      <rPr>
        <sz val="9"/>
        <color indexed="8"/>
        <rFont val="Times New Roman"/>
        <family val="1"/>
      </rPr>
      <t xml:space="preserve">or inc. any sugars </t>
    </r>
    <r>
      <rPr>
        <b/>
        <sz val="9"/>
        <color indexed="60"/>
        <rFont val="Times New Roman"/>
        <family val="1"/>
      </rPr>
      <t>(1b)</t>
    </r>
  </si>
  <si>
    <t>For more information about "carbonation" see the "Beer Primer".</t>
  </si>
  <si>
    <r>
      <t xml:space="preserve">Note:- The hop bitterness calculations may give slighted different figures to the </t>
    </r>
    <r>
      <rPr>
        <sz val="10"/>
        <color indexed="10"/>
        <rFont val="Times New Roman"/>
        <family val="1"/>
      </rPr>
      <t>Beer Calc</t>
    </r>
    <r>
      <rPr>
        <sz val="10"/>
        <color indexed="8"/>
        <rFont val="Times New Roman"/>
        <family val="1"/>
      </rPr>
      <t xml:space="preserve">  owing to the sighly different processes used.</t>
    </r>
  </si>
  <si>
    <t>Ensure cell E170 is clear!</t>
  </si>
  <si>
    <t>If not - check cell E170</t>
  </si>
  <si>
    <r>
      <t xml:space="preserve">litres (Actual vol. </t>
    </r>
    <r>
      <rPr>
        <u/>
        <sz val="10"/>
        <rFont val="Times New Roman"/>
        <family val="1"/>
      </rPr>
      <t xml:space="preserve">used </t>
    </r>
    <r>
      <rPr>
        <sz val="10"/>
        <rFont val="Times New Roman"/>
        <family val="1"/>
      </rPr>
      <t>- allows for losses &amp; sweetening sugar when added to finished wine.)</t>
    </r>
  </si>
  <si>
    <t xml:space="preserve">Denotes an "editable" cell.      </t>
  </si>
  <si>
    <t>The original versions of the calc's were all written using the metric system of weights &amp; measures as it was, more or less, a universal system. The only concessions given to users of the horrible Imperial &amp; the even worse US units, was a conversion from litres to Imperial &amp; US gallons, even they are not the same - but at least the British pint &amp; gallon are bigger than the US counterpart (the only things that are!). Canada &amp; Australia both use the Imperial system.
This version has been simplified, it still uses litres (or liters) to overcomes the volume problems &amp;, unfortunately, the wine calc. is a veritable pig to use for juices &amp; tinned fruit because of the lack of consistency from manufactures when using the US nomenclature.</t>
  </si>
  <si>
    <r>
      <t>But they insist on using SRM's for beer colo</t>
    </r>
    <r>
      <rPr>
        <b/>
        <i/>
        <u/>
        <sz val="10"/>
        <rFont val="Times New Roman"/>
        <family val="1"/>
      </rPr>
      <t>u</t>
    </r>
    <r>
      <rPr>
        <sz val="10"/>
        <rFont val="Times New Roman"/>
        <family val="1"/>
      </rPr>
      <t>rs!</t>
    </r>
  </si>
  <si>
    <t>Rows from  columns" B" to" F" may be copied &amp; pasted into the above table in order to appear in the calculators.</t>
  </si>
  <si>
    <t>The SG's have been converted to Kg/m³, i.e. no silly decimal point!</t>
  </si>
  <si>
    <r>
      <t>(</t>
    </r>
    <r>
      <rPr>
        <sz val="11"/>
        <color indexed="8"/>
        <rFont val="Times New Roman"/>
        <family val="1"/>
      </rPr>
      <t>°</t>
    </r>
    <r>
      <rPr>
        <sz val="10"/>
        <color indexed="8"/>
        <rFont val="Times New Roman"/>
        <family val="1"/>
      </rPr>
      <t>Bx, P, B &amp; Bé)</t>
    </r>
  </si>
  <si>
    <t>wet</t>
  </si>
  <si>
    <t>dry</t>
  </si>
  <si>
    <t>colrd</t>
  </si>
  <si>
    <t>Sug</t>
  </si>
  <si>
    <r>
      <rPr>
        <sz val="12"/>
        <rFont val="Times New Roman"/>
        <family val="1"/>
      </rPr>
      <t>°</t>
    </r>
    <r>
      <rPr>
        <sz val="10"/>
        <rFont val="Times New Roman"/>
        <family val="1"/>
      </rPr>
      <t>C (Max. 30)</t>
    </r>
  </si>
  <si>
    <t>malt</t>
  </si>
  <si>
    <r>
      <t xml:space="preserve">Hops boiled </t>
    </r>
    <r>
      <rPr>
        <b/>
        <sz val="9"/>
        <color indexed="8"/>
        <rFont val="Times New Roman"/>
        <family val="1"/>
      </rPr>
      <t>just</t>
    </r>
    <r>
      <rPr>
        <sz val="9"/>
        <color indexed="8"/>
        <rFont val="Times New Roman"/>
        <family val="1"/>
      </rPr>
      <t xml:space="preserve"> with all the malts </t>
    </r>
    <r>
      <rPr>
        <b/>
        <sz val="9"/>
        <color indexed="20"/>
        <rFont val="Times New Roman"/>
        <family val="1"/>
      </rPr>
      <t>(1a)</t>
    </r>
    <r>
      <rPr>
        <sz val="9"/>
        <color indexed="20"/>
        <rFont val="Times New Roman"/>
        <family val="1"/>
      </rPr>
      <t xml:space="preserve"> </t>
    </r>
    <r>
      <rPr>
        <sz val="9"/>
        <color indexed="8"/>
        <rFont val="Times New Roman"/>
        <family val="1"/>
      </rPr>
      <t xml:space="preserve">or </t>
    </r>
    <r>
      <rPr>
        <b/>
        <sz val="9"/>
        <color indexed="8"/>
        <rFont val="Times New Roman"/>
        <family val="1"/>
      </rPr>
      <t>inc.</t>
    </r>
    <r>
      <rPr>
        <sz val="9"/>
        <color indexed="8"/>
        <rFont val="Times New Roman"/>
        <family val="1"/>
      </rPr>
      <t xml:space="preserve"> any sugars </t>
    </r>
    <r>
      <rPr>
        <b/>
        <sz val="9"/>
        <color indexed="60"/>
        <rFont val="Times New Roman"/>
        <family val="1"/>
      </rPr>
      <t>(1b).</t>
    </r>
  </si>
  <si>
    <r>
      <t>NOTES:-</t>
    </r>
    <r>
      <rPr>
        <b/>
        <sz val="10"/>
        <color indexed="8"/>
        <rFont val="Times New Roman"/>
        <family val="1"/>
      </rPr>
      <t xml:space="preserve"> </t>
    </r>
  </si>
  <si>
    <t>2nd hop Wt (oz)</t>
  </si>
  <si>
    <t>3rd hop Wt (oz)</t>
  </si>
  <si>
    <r>
      <rPr>
        <sz val="11"/>
        <color indexed="8"/>
        <rFont val="Times New Roman"/>
        <family val="1"/>
      </rPr>
      <t>°</t>
    </r>
    <r>
      <rPr>
        <sz val="10"/>
        <color indexed="8"/>
        <rFont val="Times New Roman"/>
        <family val="1"/>
      </rPr>
      <t>F</t>
    </r>
  </si>
  <si>
    <r>
      <rPr>
        <sz val="12"/>
        <color indexed="8"/>
        <rFont val="Times New Roman"/>
        <family val="1"/>
      </rPr>
      <t>°</t>
    </r>
    <r>
      <rPr>
        <sz val="10"/>
        <color indexed="8"/>
        <rFont val="Times New Roman"/>
        <family val="1"/>
      </rPr>
      <t>C</t>
    </r>
  </si>
  <si>
    <t>ACTUAL WINE % ABV</t>
  </si>
  <si>
    <r>
      <t xml:space="preserve">Calculator for </t>
    </r>
    <r>
      <rPr>
        <u/>
        <sz val="10"/>
        <rFont val="Times New Roman"/>
        <family val="1"/>
      </rPr>
      <t>FINISHED, DRY</t>
    </r>
    <r>
      <rPr>
        <sz val="10"/>
        <rFont val="Times New Roman"/>
        <family val="1"/>
      </rPr>
      <t xml:space="preserve"> wines only.</t>
    </r>
  </si>
  <si>
    <r>
      <t xml:space="preserve">      OR, for a gravity of </t>
    </r>
    <r>
      <rPr>
        <b/>
        <sz val="10"/>
        <rFont val="Times New Roman"/>
        <family val="1"/>
      </rPr>
      <t xml:space="preserve">1300 </t>
    </r>
    <r>
      <rPr>
        <sz val="10"/>
        <rFont val="Times New Roman"/>
        <family val="1"/>
      </rPr>
      <t xml:space="preserve">       </t>
    </r>
  </si>
  <si>
    <t>For an SG of</t>
  </si>
  <si>
    <r>
      <rPr>
        <b/>
        <u/>
        <sz val="18"/>
        <rFont val="Times New Roman"/>
        <family val="1"/>
      </rPr>
      <t>P</t>
    </r>
    <r>
      <rPr>
        <b/>
        <u/>
        <sz val="16"/>
        <rFont val="Times New Roman"/>
        <family val="1"/>
      </rPr>
      <t xml:space="preserve">ete's </t>
    </r>
    <r>
      <rPr>
        <b/>
        <u/>
        <sz val="18"/>
        <rFont val="Times New Roman"/>
        <family val="1"/>
      </rPr>
      <t>G</t>
    </r>
    <r>
      <rPr>
        <b/>
        <u/>
        <sz val="16"/>
        <rFont val="Times New Roman"/>
        <family val="1"/>
      </rPr>
      <t xml:space="preserve">eneral </t>
    </r>
    <r>
      <rPr>
        <b/>
        <u/>
        <sz val="18"/>
        <rFont val="Times New Roman"/>
        <family val="1"/>
      </rPr>
      <t>C</t>
    </r>
    <r>
      <rPr>
        <b/>
        <u/>
        <sz val="16"/>
        <rFont val="Times New Roman"/>
        <family val="1"/>
      </rPr>
      <t>alc's</t>
    </r>
  </si>
  <si>
    <r>
      <rPr>
        <b/>
        <u/>
        <sz val="16"/>
        <rFont val="Times New Roman"/>
        <family val="1"/>
      </rPr>
      <t>P</t>
    </r>
    <r>
      <rPr>
        <b/>
        <u/>
        <sz val="14"/>
        <rFont val="Times New Roman"/>
        <family val="1"/>
      </rPr>
      <t xml:space="preserve">eter's </t>
    </r>
    <r>
      <rPr>
        <b/>
        <u/>
        <sz val="16"/>
        <rFont val="Times New Roman"/>
        <family val="1"/>
      </rPr>
      <t>M</t>
    </r>
    <r>
      <rPr>
        <b/>
        <u/>
        <sz val="14"/>
        <rFont val="Times New Roman"/>
        <family val="1"/>
      </rPr>
      <t xml:space="preserve">alt </t>
    </r>
    <r>
      <rPr>
        <b/>
        <u/>
        <sz val="16"/>
        <rFont val="Times New Roman"/>
        <family val="1"/>
      </rPr>
      <t>E</t>
    </r>
    <r>
      <rPr>
        <b/>
        <u/>
        <sz val="14"/>
        <rFont val="Times New Roman"/>
        <family val="1"/>
      </rPr>
      <t xml:space="preserve">xtract </t>
    </r>
    <r>
      <rPr>
        <b/>
        <u/>
        <sz val="16"/>
        <rFont val="Times New Roman"/>
        <family val="1"/>
      </rPr>
      <t>C</t>
    </r>
    <r>
      <rPr>
        <b/>
        <u/>
        <sz val="14"/>
        <rFont val="Times New Roman"/>
        <family val="1"/>
      </rPr>
      <t>alculator</t>
    </r>
  </si>
  <si>
    <r>
      <rPr>
        <b/>
        <u/>
        <sz val="16"/>
        <rFont val="Times New Roman"/>
        <family val="1"/>
      </rPr>
      <t>P</t>
    </r>
    <r>
      <rPr>
        <b/>
        <u/>
        <sz val="14"/>
        <rFont val="Times New Roman"/>
        <family val="1"/>
      </rPr>
      <t>eter's</t>
    </r>
    <r>
      <rPr>
        <b/>
        <u/>
        <sz val="16"/>
        <rFont val="Times New Roman"/>
        <family val="1"/>
      </rPr>
      <t xml:space="preserve"> B</t>
    </r>
    <r>
      <rPr>
        <b/>
        <u/>
        <sz val="14"/>
        <rFont val="Times New Roman"/>
        <family val="1"/>
      </rPr>
      <t xml:space="preserve">eer </t>
    </r>
    <r>
      <rPr>
        <b/>
        <u/>
        <sz val="16"/>
        <rFont val="Times New Roman"/>
        <family val="1"/>
      </rPr>
      <t>C</t>
    </r>
    <r>
      <rPr>
        <b/>
        <u/>
        <sz val="14"/>
        <rFont val="Times New Roman"/>
        <family val="1"/>
      </rPr>
      <t>alculations</t>
    </r>
  </si>
  <si>
    <r>
      <rPr>
        <b/>
        <u/>
        <sz val="18"/>
        <color indexed="8"/>
        <rFont val="Times New Roman"/>
        <family val="1"/>
      </rPr>
      <t>P</t>
    </r>
    <r>
      <rPr>
        <b/>
        <u/>
        <sz val="16"/>
        <color indexed="8"/>
        <rFont val="Times New Roman"/>
        <family val="1"/>
      </rPr>
      <t xml:space="preserve">ete's </t>
    </r>
    <r>
      <rPr>
        <b/>
        <u/>
        <sz val="18"/>
        <color indexed="8"/>
        <rFont val="Times New Roman"/>
        <family val="1"/>
      </rPr>
      <t>G</t>
    </r>
    <r>
      <rPr>
        <b/>
        <u/>
        <sz val="16"/>
        <color indexed="8"/>
        <rFont val="Times New Roman"/>
        <family val="1"/>
      </rPr>
      <t>luten-</t>
    </r>
    <r>
      <rPr>
        <b/>
        <u/>
        <sz val="18"/>
        <color indexed="8"/>
        <rFont val="Times New Roman"/>
        <family val="1"/>
      </rPr>
      <t>F</t>
    </r>
    <r>
      <rPr>
        <b/>
        <u/>
        <sz val="16"/>
        <color indexed="8"/>
        <rFont val="Times New Roman"/>
        <family val="1"/>
      </rPr>
      <t xml:space="preserve">ree </t>
    </r>
    <r>
      <rPr>
        <b/>
        <u/>
        <sz val="18"/>
        <color indexed="8"/>
        <rFont val="Times New Roman"/>
        <family val="1"/>
      </rPr>
      <t>B</t>
    </r>
    <r>
      <rPr>
        <b/>
        <u/>
        <sz val="16"/>
        <color indexed="8"/>
        <rFont val="Times New Roman"/>
        <family val="1"/>
      </rPr>
      <t xml:space="preserve">eer </t>
    </r>
    <r>
      <rPr>
        <b/>
        <u/>
        <sz val="18"/>
        <color indexed="8"/>
        <rFont val="Times New Roman"/>
        <family val="1"/>
      </rPr>
      <t>C</t>
    </r>
    <r>
      <rPr>
        <b/>
        <u/>
        <sz val="16"/>
        <color indexed="8"/>
        <rFont val="Times New Roman"/>
        <family val="1"/>
      </rPr>
      <t>alculator</t>
    </r>
  </si>
  <si>
    <r>
      <rPr>
        <b/>
        <u/>
        <sz val="16"/>
        <rFont val="Times New Roman"/>
        <family val="1"/>
      </rPr>
      <t>P</t>
    </r>
    <r>
      <rPr>
        <b/>
        <u/>
        <sz val="14"/>
        <rFont val="Times New Roman"/>
        <family val="1"/>
      </rPr>
      <t xml:space="preserve">eter's </t>
    </r>
    <r>
      <rPr>
        <b/>
        <u/>
        <sz val="16"/>
        <rFont val="Times New Roman"/>
        <family val="1"/>
      </rPr>
      <t>W</t>
    </r>
    <r>
      <rPr>
        <b/>
        <u/>
        <sz val="14"/>
        <rFont val="Times New Roman"/>
        <family val="1"/>
      </rPr>
      <t xml:space="preserve">ine </t>
    </r>
    <r>
      <rPr>
        <b/>
        <u/>
        <sz val="16"/>
        <rFont val="Times New Roman"/>
        <family val="1"/>
      </rPr>
      <t>C</t>
    </r>
    <r>
      <rPr>
        <b/>
        <u/>
        <sz val="14"/>
        <rFont val="Times New Roman"/>
        <family val="1"/>
      </rPr>
      <t>alculator</t>
    </r>
  </si>
  <si>
    <t>Knickers!</t>
  </si>
  <si>
    <t>April</t>
  </si>
  <si>
    <t>Fool!</t>
  </si>
  <si>
    <t>Cheeky!</t>
  </si>
  <si>
    <t>Approx sweetening sugar (g/4.5 litre)</t>
  </si>
  <si>
    <r>
      <t xml:space="preserve">1 EBC </t>
    </r>
    <r>
      <rPr>
        <sz val="10"/>
        <color theme="7"/>
        <rFont val="Calibri"/>
        <family val="2"/>
      </rPr>
      <t>≈</t>
    </r>
    <r>
      <rPr>
        <sz val="10"/>
        <color theme="7"/>
        <rFont val="Times New Roman"/>
        <family val="1"/>
      </rPr>
      <t xml:space="preserve"> 2 (1.97) SRM</t>
    </r>
  </si>
  <si>
    <r>
      <t>Bitterness</t>
    </r>
    <r>
      <rPr>
        <sz val="11"/>
        <color indexed="20"/>
        <rFont val="Times New Roman"/>
        <family val="1"/>
      </rPr>
      <t xml:space="preserve"> - </t>
    </r>
    <r>
      <rPr>
        <sz val="11"/>
        <color rgb="FFFF00FF"/>
        <rFont val="Times New Roman"/>
        <family val="1"/>
      </rPr>
      <t xml:space="preserve">OR Method (2)          </t>
    </r>
    <r>
      <rPr>
        <sz val="11"/>
        <color indexed="8"/>
        <rFont val="Times New Roman"/>
        <family val="1"/>
      </rPr>
      <t xml:space="preserve">    </t>
    </r>
  </si>
  <si>
    <r>
      <t>Bitterness</t>
    </r>
    <r>
      <rPr>
        <sz val="11"/>
        <color indexed="20"/>
        <rFont val="Times New Roman"/>
        <family val="1"/>
      </rPr>
      <t xml:space="preserve"> - </t>
    </r>
    <r>
      <rPr>
        <sz val="11"/>
        <color rgb="FFCC66FF"/>
        <rFont val="Times New Roman"/>
        <family val="1"/>
      </rPr>
      <t xml:space="preserve">Method (1a)       </t>
    </r>
    <r>
      <rPr>
        <sz val="11"/>
        <color indexed="8"/>
        <rFont val="Times New Roman"/>
        <family val="1"/>
      </rPr>
      <t xml:space="preserve">                </t>
    </r>
  </si>
  <si>
    <t xml:space="preserve"> coloured malts only.</t>
  </si>
  <si>
    <r>
      <rPr>
        <sz val="11"/>
        <rFont val="Times New Roman"/>
        <family val="1"/>
      </rPr>
      <t>°</t>
    </r>
    <r>
      <rPr>
        <sz val="10"/>
        <rFont val="Times New Roman"/>
        <family val="1"/>
      </rPr>
      <t>C (Max. 25)</t>
    </r>
  </si>
  <si>
    <r>
      <t xml:space="preserve">(Use the above figures as a </t>
    </r>
    <r>
      <rPr>
        <b/>
        <u/>
        <sz val="10"/>
        <color indexed="10"/>
        <rFont val="Times New Roman"/>
        <family val="1"/>
      </rPr>
      <t>VERY APPROX. GUIDE</t>
    </r>
    <r>
      <rPr>
        <sz val="10"/>
        <color indexed="10"/>
        <rFont val="Times New Roman"/>
        <family val="1"/>
      </rPr>
      <t xml:space="preserve"> </t>
    </r>
    <r>
      <rPr>
        <sz val="10"/>
        <rFont val="Times New Roman"/>
        <family val="1"/>
      </rPr>
      <t xml:space="preserve">only)  </t>
    </r>
  </si>
  <si>
    <t>1 litre = 1 US liter</t>
  </si>
  <si>
    <t>where</t>
  </si>
  <si>
    <t xml:space="preserve">OR = </t>
  </si>
  <si>
    <t>g / litre =</t>
  </si>
  <si>
    <t>NOTE:- Metric units are my preferred system as they are universal &amp; do not suffer from the stupidities of the U. K. Imperial or (even worse) the U. S. systems.</t>
  </si>
  <si>
    <t>6.3g / litre (2 tsp) for Trappist / Abbey ales / lagers.</t>
  </si>
  <si>
    <t>Some typical sugar priming rates.</t>
  </si>
  <si>
    <r>
      <t xml:space="preserve">MAIN boil vol/time usually </t>
    </r>
    <r>
      <rPr>
        <b/>
        <u/>
        <sz val="8"/>
        <color rgb="FFFF0000"/>
        <rFont val="Times New Roman"/>
        <family val="1"/>
      </rPr>
      <t>NOT</t>
    </r>
    <r>
      <rPr>
        <sz val="8"/>
        <color rgb="FFFF00FF"/>
        <rFont val="Times New Roman"/>
        <family val="1"/>
      </rPr>
      <t xml:space="preserve"> chosen to give </t>
    </r>
    <r>
      <rPr>
        <b/>
        <sz val="8"/>
        <color rgb="FFFF00FF"/>
        <rFont val="Times New Roman"/>
        <family val="1"/>
      </rPr>
      <t>20% Utilization!</t>
    </r>
  </si>
  <si>
    <r>
      <t xml:space="preserve">MAIN boil vol/time usually chosen to give </t>
    </r>
    <r>
      <rPr>
        <b/>
        <sz val="8"/>
        <color rgb="FFCC66FF"/>
        <rFont val="Times New Roman"/>
        <family val="1"/>
      </rPr>
      <t>20% Utilization.</t>
    </r>
  </si>
  <si>
    <r>
      <t>MAIN boil vol/time usually chosen to give</t>
    </r>
    <r>
      <rPr>
        <b/>
        <sz val="8"/>
        <color rgb="FFC00000"/>
        <rFont val="Times New Roman"/>
        <family val="1"/>
      </rPr>
      <t xml:space="preserve"> 20% Utilization.</t>
    </r>
  </si>
  <si>
    <r>
      <t xml:space="preserve">MAIN boil vol/time usually chosen to give </t>
    </r>
    <r>
      <rPr>
        <b/>
        <sz val="8"/>
        <color rgb="FFC00000"/>
        <rFont val="Times New Roman"/>
        <family val="1"/>
      </rPr>
      <t>20% Utilization.</t>
    </r>
  </si>
  <si>
    <r>
      <t xml:space="preserve">MAIN boil vol/time usually </t>
    </r>
    <r>
      <rPr>
        <b/>
        <sz val="8"/>
        <color rgb="FFFF0000"/>
        <rFont val="Times New Roman"/>
        <family val="1"/>
      </rPr>
      <t>NOT</t>
    </r>
    <r>
      <rPr>
        <sz val="8"/>
        <color rgb="FFFF00FF"/>
        <rFont val="Times New Roman"/>
        <family val="1"/>
      </rPr>
      <t xml:space="preserve"> chosen to give </t>
    </r>
    <r>
      <rPr>
        <b/>
        <sz val="8"/>
        <color rgb="FFFF00FF"/>
        <rFont val="Times New Roman"/>
        <family val="1"/>
      </rPr>
      <t>20% Utilization</t>
    </r>
    <r>
      <rPr>
        <sz val="8"/>
        <color rgb="FFFF00FF"/>
        <rFont val="Times New Roman"/>
        <family val="1"/>
      </rPr>
      <t>!</t>
    </r>
  </si>
  <si>
    <r>
      <t xml:space="preserve">MAIN boil vol/time usually chosen to give </t>
    </r>
    <r>
      <rPr>
        <b/>
        <sz val="8"/>
        <color rgb="FFCC66FF"/>
        <rFont val="Times New Roman"/>
        <family val="1"/>
      </rPr>
      <t>20% Utilization</t>
    </r>
  </si>
  <si>
    <r>
      <t xml:space="preserve">MAIN boil vol/time usually chosen to give </t>
    </r>
    <r>
      <rPr>
        <b/>
        <sz val="8"/>
        <color rgb="FFC00000"/>
        <rFont val="Times New Roman"/>
        <family val="1"/>
      </rPr>
      <t>20% Utilization</t>
    </r>
  </si>
  <si>
    <r>
      <t>MAIN boil vol/time usually</t>
    </r>
    <r>
      <rPr>
        <sz val="8"/>
        <color rgb="FFFF0000"/>
        <rFont val="Times New Roman"/>
        <family val="1"/>
      </rPr>
      <t xml:space="preserve"> </t>
    </r>
    <r>
      <rPr>
        <b/>
        <u/>
        <sz val="8"/>
        <color rgb="FFFF0000"/>
        <rFont val="Times New Roman"/>
        <family val="1"/>
      </rPr>
      <t>NOT</t>
    </r>
    <r>
      <rPr>
        <sz val="8"/>
        <color rgb="FFFF00FF"/>
        <rFont val="Times New Roman"/>
        <family val="1"/>
      </rPr>
      <t xml:space="preserve"> chosen to give </t>
    </r>
    <r>
      <rPr>
        <b/>
        <sz val="8"/>
        <color rgb="FFFF00FF"/>
        <rFont val="Times New Roman"/>
        <family val="1"/>
      </rPr>
      <t>20% Utilization!</t>
    </r>
  </si>
  <si>
    <r>
      <rPr>
        <b/>
        <u/>
        <sz val="10"/>
        <color indexed="12"/>
        <rFont val="Times New Roman"/>
        <family val="1"/>
      </rPr>
      <t>OR</t>
    </r>
    <r>
      <rPr>
        <b/>
        <sz val="10"/>
        <color indexed="12"/>
        <rFont val="Times New Roman"/>
        <family val="1"/>
      </rPr>
      <t xml:space="preserve"> </t>
    </r>
  </si>
  <si>
    <t>These are for "fine tuning" the acid &amp; pectin content of the jam.</t>
  </si>
  <si>
    <r>
      <t>Higher values lead to a better "set". Aim for at least "</t>
    </r>
    <r>
      <rPr>
        <b/>
        <sz val="10"/>
        <color indexed="14"/>
        <rFont val="Times New Roman"/>
        <family val="1"/>
      </rPr>
      <t>Medium</t>
    </r>
    <r>
      <rPr>
        <sz val="10"/>
        <rFont val="Times New Roman"/>
        <family val="1"/>
      </rPr>
      <t>".</t>
    </r>
  </si>
  <si>
    <t>ACID ADDED (Tartaric/Citric/Malic)</t>
  </si>
  <si>
    <t>When adding water (see cell S178) to a recipe, always err on the side caution as you can add more later if required. The converse is rather more difficult!</t>
  </si>
  <si>
    <t>% Nominally 75% - Wheeler &amp; Protz use 75%, BYO use 65%.</t>
  </si>
  <si>
    <t>Weights (cells C38-C55) can be entered as whole "lbs" &amp; "oz" or just decimal "lbs" (the "oz" cell is left blank)  i.e.</t>
  </si>
  <si>
    <t>The Inital Vol (cell C24) uses MERTIC measures to allow "easy" conversion between IMPERIAL &amp; US gallons.</t>
  </si>
  <si>
    <t>Only use if you are conversant with BOTH Imperial &amp; US measures.</t>
  </si>
  <si>
    <t>I am definitely not!</t>
  </si>
  <si>
    <t>The only language of science!</t>
  </si>
  <si>
    <r>
      <rPr>
        <b/>
        <u/>
        <sz val="16"/>
        <rFont val="Times New Roman"/>
        <family val="1"/>
      </rPr>
      <t>P</t>
    </r>
    <r>
      <rPr>
        <b/>
        <u/>
        <sz val="14"/>
        <rFont val="Times New Roman"/>
        <family val="1"/>
      </rPr>
      <t xml:space="preserve">ete's </t>
    </r>
    <r>
      <rPr>
        <b/>
        <u/>
        <sz val="16"/>
        <rFont val="Times New Roman"/>
        <family val="1"/>
      </rPr>
      <t>Y</t>
    </r>
    <r>
      <rPr>
        <b/>
        <u/>
        <sz val="14"/>
        <rFont val="Times New Roman"/>
        <family val="1"/>
      </rPr>
      <t>o</t>
    </r>
    <r>
      <rPr>
        <b/>
        <u/>
        <sz val="16"/>
        <rFont val="Times New Roman"/>
        <family val="1"/>
      </rPr>
      <t>B</t>
    </r>
    <r>
      <rPr>
        <b/>
        <u/>
        <sz val="14"/>
        <rFont val="Times New Roman"/>
        <family val="1"/>
      </rPr>
      <t xml:space="preserve">rew </t>
    </r>
    <r>
      <rPr>
        <b/>
        <u/>
        <sz val="16"/>
        <rFont val="Times New Roman"/>
        <family val="1"/>
      </rPr>
      <t>B</t>
    </r>
    <r>
      <rPr>
        <b/>
        <u/>
        <sz val="14"/>
        <rFont val="Times New Roman"/>
        <family val="1"/>
      </rPr>
      <t xml:space="preserve">eer </t>
    </r>
    <r>
      <rPr>
        <b/>
        <u/>
        <sz val="16"/>
        <rFont val="Times New Roman"/>
        <family val="1"/>
      </rPr>
      <t>&amp;</t>
    </r>
    <r>
      <rPr>
        <b/>
        <u/>
        <sz val="14"/>
        <rFont val="Times New Roman"/>
        <family val="1"/>
      </rPr>
      <t xml:space="preserve"> </t>
    </r>
    <r>
      <rPr>
        <b/>
        <u/>
        <sz val="16"/>
        <rFont val="Times New Roman"/>
        <family val="1"/>
      </rPr>
      <t>W</t>
    </r>
    <r>
      <rPr>
        <b/>
        <u/>
        <sz val="14"/>
        <rFont val="Times New Roman"/>
        <family val="1"/>
      </rPr>
      <t xml:space="preserve">ine </t>
    </r>
    <r>
      <rPr>
        <b/>
        <u/>
        <sz val="16"/>
        <rFont val="Times New Roman"/>
        <family val="1"/>
      </rPr>
      <t>C</t>
    </r>
    <r>
      <rPr>
        <b/>
        <u/>
        <sz val="14"/>
        <rFont val="Times New Roman"/>
        <family val="1"/>
      </rPr>
      <t xml:space="preserve">alc's. - </t>
    </r>
    <r>
      <rPr>
        <b/>
        <u/>
        <sz val="16"/>
        <rFont val="Times New Roman"/>
        <family val="1"/>
      </rPr>
      <t>I</t>
    </r>
    <r>
      <rPr>
        <b/>
        <u/>
        <sz val="14"/>
        <rFont val="Times New Roman"/>
        <family val="1"/>
      </rPr>
      <t xml:space="preserve">mperial </t>
    </r>
    <r>
      <rPr>
        <b/>
        <u/>
        <sz val="16"/>
        <rFont val="Times New Roman"/>
        <family val="1"/>
      </rPr>
      <t>&amp; US</t>
    </r>
    <r>
      <rPr>
        <b/>
        <u/>
        <sz val="14"/>
        <rFont val="Times New Roman"/>
        <family val="1"/>
      </rPr>
      <t xml:space="preserve"> </t>
    </r>
    <r>
      <rPr>
        <b/>
        <u/>
        <sz val="16"/>
        <rFont val="Times New Roman"/>
        <family val="1"/>
      </rPr>
      <t>M</t>
    </r>
    <r>
      <rPr>
        <b/>
        <u/>
        <sz val="14"/>
        <rFont val="Times New Roman"/>
        <family val="1"/>
      </rPr>
      <t>easures.</t>
    </r>
  </si>
  <si>
    <r>
      <rPr>
        <b/>
        <u/>
        <sz val="16"/>
        <rFont val="Times New Roman"/>
        <family val="1"/>
      </rPr>
      <t>P</t>
    </r>
    <r>
      <rPr>
        <b/>
        <u/>
        <sz val="14"/>
        <rFont val="Times New Roman"/>
        <family val="1"/>
      </rPr>
      <t xml:space="preserve">eter's </t>
    </r>
    <r>
      <rPr>
        <b/>
        <u/>
        <sz val="16"/>
        <rFont val="Times New Roman"/>
        <family val="1"/>
      </rPr>
      <t>J</t>
    </r>
    <r>
      <rPr>
        <b/>
        <u/>
        <sz val="14"/>
        <rFont val="Times New Roman"/>
        <family val="1"/>
      </rPr>
      <t xml:space="preserve">am </t>
    </r>
    <r>
      <rPr>
        <b/>
        <u/>
        <sz val="16"/>
        <rFont val="Times New Roman"/>
        <family val="1"/>
      </rPr>
      <t>C</t>
    </r>
    <r>
      <rPr>
        <b/>
        <u/>
        <sz val="14"/>
        <rFont val="Times New Roman"/>
        <family val="1"/>
      </rPr>
      <t>alculator</t>
    </r>
  </si>
  <si>
    <t>1~4~'20</t>
  </si>
  <si>
    <t>Version 4.0</t>
  </si>
  <si>
    <t>VOLUME CONVERTERS</t>
  </si>
  <si>
    <t>UK Pts</t>
  </si>
  <si>
    <t>US Pts</t>
  </si>
  <si>
    <t>Litres</t>
  </si>
  <si>
    <t>WEIGHT CONVERTERS</t>
  </si>
  <si>
    <t>lb.   oz</t>
  </si>
  <si>
    <t>lb.       oz</t>
  </si>
  <si>
    <t>Hops boiled with "coloured malts"</t>
  </si>
  <si>
    <t>VERY USEFULL FOR HOP CONVERSIONS</t>
  </si>
  <si>
    <r>
      <t>US</t>
    </r>
    <r>
      <rPr>
        <b/>
        <sz val="11"/>
        <color rgb="FFFF00FF"/>
        <rFont val="Times New Roman"/>
        <family val="1"/>
      </rPr>
      <t>°</t>
    </r>
  </si>
  <si>
    <r>
      <t>UK</t>
    </r>
    <r>
      <rPr>
        <b/>
        <sz val="10"/>
        <color theme="1"/>
        <rFont val="Times New Roman"/>
        <family val="1"/>
      </rPr>
      <t xml:space="preserve"> ̸ </t>
    </r>
    <r>
      <rPr>
        <b/>
        <sz val="10"/>
        <color rgb="FFFF00FF"/>
        <rFont val="Times New Roman"/>
        <family val="1"/>
      </rPr>
      <t>US</t>
    </r>
    <r>
      <rPr>
        <b/>
        <sz val="10"/>
        <color indexed="10"/>
        <rFont val="Times New Roman"/>
        <family val="1"/>
      </rPr>
      <t xml:space="preserve"> </t>
    </r>
    <r>
      <rPr>
        <b/>
        <sz val="10"/>
        <color theme="1"/>
        <rFont val="Times New Roman"/>
        <family val="1"/>
      </rPr>
      <t>Proof Converters</t>
    </r>
  </si>
  <si>
    <r>
      <t>Temperatures of around 20</t>
    </r>
    <r>
      <rPr>
        <sz val="11"/>
        <rFont val="Times New Roman"/>
        <family val="1"/>
      </rPr>
      <t>°</t>
    </r>
    <r>
      <rPr>
        <sz val="10"/>
        <rFont val="Times New Roman"/>
        <family val="1"/>
      </rPr>
      <t xml:space="preserve">C are assumed. </t>
    </r>
  </si>
  <si>
    <r>
      <t>Ethyl alcohol (20</t>
    </r>
    <r>
      <rPr>
        <sz val="11"/>
        <rFont val="Times New Roman"/>
        <family val="1"/>
      </rPr>
      <t>°</t>
    </r>
    <r>
      <rPr>
        <sz val="10"/>
        <rFont val="Times New Roman"/>
        <family val="1"/>
      </rPr>
      <t>C)</t>
    </r>
  </si>
  <si>
    <r>
      <rPr>
        <b/>
        <u/>
        <sz val="10"/>
        <rFont val="Times New Roman"/>
        <family val="1"/>
      </rPr>
      <t>&amp;</t>
    </r>
    <r>
      <rPr>
        <b/>
        <sz val="10"/>
        <color rgb="FFFF00FF"/>
        <rFont val="Times New Roman"/>
        <family val="1"/>
      </rPr>
      <t xml:space="preserve"> </t>
    </r>
    <r>
      <rPr>
        <b/>
        <u/>
        <sz val="10"/>
        <color rgb="FFFF00FF"/>
        <rFont val="Times New Roman"/>
        <family val="1"/>
      </rPr>
      <t>US</t>
    </r>
  </si>
  <si>
    <r>
      <rPr>
        <sz val="10"/>
        <color rgb="FFFF00FF"/>
        <rFont val="Times New Roman"/>
        <family val="1"/>
      </rPr>
      <t>US</t>
    </r>
    <r>
      <rPr>
        <sz val="10"/>
        <color indexed="8"/>
        <rFont val="Times New Roman"/>
        <family val="1"/>
      </rPr>
      <t xml:space="preserve"> Pt.</t>
    </r>
  </si>
  <si>
    <r>
      <rPr>
        <sz val="10"/>
        <color rgb="FFFF0000"/>
        <rFont val="Times New Roman"/>
        <family val="1"/>
      </rPr>
      <t>UK</t>
    </r>
    <r>
      <rPr>
        <sz val="10"/>
        <color indexed="8"/>
        <rFont val="Times New Roman"/>
        <family val="1"/>
      </rPr>
      <t xml:space="preserve"> Pt.</t>
    </r>
  </si>
  <si>
    <r>
      <rPr>
        <sz val="10"/>
        <color rgb="FFFF0000"/>
        <rFont val="Times New Roman"/>
        <family val="1"/>
      </rPr>
      <t>UK</t>
    </r>
    <r>
      <rPr>
        <sz val="10"/>
        <color indexed="8"/>
        <rFont val="Times New Roman"/>
        <family val="1"/>
      </rPr>
      <t xml:space="preserve"> pt</t>
    </r>
  </si>
  <si>
    <r>
      <rPr>
        <sz val="10"/>
        <color rgb="FFFF0000"/>
        <rFont val="Times New Roman"/>
        <family val="1"/>
      </rPr>
      <t>UK</t>
    </r>
    <r>
      <rPr>
        <sz val="10"/>
        <color indexed="8"/>
        <rFont val="Times New Roman"/>
        <family val="1"/>
      </rPr>
      <t xml:space="preserve"> G</t>
    </r>
    <r>
      <rPr>
        <sz val="9"/>
        <color indexed="8"/>
        <rFont val="Times New Roman"/>
        <family val="1"/>
      </rPr>
      <t>all</t>
    </r>
  </si>
  <si>
    <r>
      <rPr>
        <sz val="10"/>
        <color rgb="FFFF00FF"/>
        <rFont val="Times New Roman"/>
        <family val="1"/>
      </rPr>
      <t>US</t>
    </r>
    <r>
      <rPr>
        <sz val="10"/>
        <color indexed="8"/>
        <rFont val="Times New Roman"/>
        <family val="1"/>
      </rPr>
      <t xml:space="preserve"> G</t>
    </r>
    <r>
      <rPr>
        <sz val="9"/>
        <color indexed="8"/>
        <rFont val="Times New Roman"/>
        <family val="1"/>
      </rPr>
      <t>all</t>
    </r>
  </si>
  <si>
    <r>
      <rPr>
        <sz val="10"/>
        <color rgb="FFFF00FF"/>
        <rFont val="Times New Roman"/>
        <family val="1"/>
      </rPr>
      <t>US</t>
    </r>
    <r>
      <rPr>
        <sz val="10"/>
        <color indexed="8"/>
        <rFont val="Times New Roman"/>
        <family val="1"/>
      </rPr>
      <t xml:space="preserve"> pt</t>
    </r>
  </si>
  <si>
    <r>
      <t xml:space="preserve">Fluid </t>
    </r>
    <r>
      <rPr>
        <sz val="10"/>
        <color rgb="FFFF00FF"/>
        <rFont val="Times New Roman"/>
        <family val="1"/>
      </rPr>
      <t>US</t>
    </r>
  </si>
  <si>
    <t>Apple &amp; Damson Jam</t>
  </si>
  <si>
    <t>PRESSURE BARREL PRIMING</t>
  </si>
  <si>
    <t>Carbonation required</t>
  </si>
  <si>
    <r>
      <t>vols CO</t>
    </r>
    <r>
      <rPr>
        <sz val="8"/>
        <rFont val="Times New Roman"/>
        <family val="1"/>
      </rPr>
      <t>2</t>
    </r>
  </si>
  <si>
    <t xml:space="preserve">Brewing/resting temperature </t>
  </si>
  <si>
    <t>Maximum volume of the barrel</t>
  </si>
  <si>
    <t>Priming sugar required</t>
  </si>
  <si>
    <t>SUCROSE EQUIVALENTS</t>
  </si>
  <si>
    <t>Sugar/sucrose (g)</t>
  </si>
  <si>
    <t>Belgian Candy Sugar</t>
  </si>
  <si>
    <t>Belgian Candy Syrup</t>
  </si>
  <si>
    <t>Black Treacle</t>
  </si>
  <si>
    <t>Brown Sugar</t>
  </si>
  <si>
    <t>Candi sugar</t>
  </si>
  <si>
    <t>Corn Syrup</t>
  </si>
  <si>
    <t>Demarara</t>
  </si>
  <si>
    <t>Honey</t>
  </si>
  <si>
    <t>Invert Sugar Syrup</t>
  </si>
  <si>
    <t>Maple Syrup</t>
  </si>
  <si>
    <t>Molasses</t>
  </si>
  <si>
    <t>Rice Solids</t>
  </si>
  <si>
    <t>Sorghum Syrup</t>
  </si>
  <si>
    <t>Turbinado</t>
  </si>
  <si>
    <t>For example:-</t>
  </si>
  <si>
    <r>
      <t>The</t>
    </r>
    <r>
      <rPr>
        <sz val="11"/>
        <color rgb="FFFF0000"/>
        <rFont val="Times New Roman"/>
        <family val="1"/>
      </rPr>
      <t xml:space="preserve"> "level 5ml tsp"</t>
    </r>
    <r>
      <rPr>
        <sz val="11"/>
        <color theme="1"/>
        <rFont val="Times New Roman"/>
        <family val="1"/>
      </rPr>
      <t xml:space="preserve"> weights only apply for "table sugar"/sucrose.</t>
    </r>
  </si>
  <si>
    <t>All calculations are approximate.</t>
  </si>
  <si>
    <t>Denotes an editable cell.</t>
  </si>
  <si>
    <t>Lambic/Gueuze</t>
  </si>
  <si>
    <t>Stout - Dry</t>
  </si>
  <si>
    <t>Stout - Foreign Extra</t>
  </si>
  <si>
    <t>Stout - Sweet/Oatmeal</t>
  </si>
  <si>
    <t>Ciders, home-made &amp; fizzy.</t>
  </si>
  <si>
    <t>Sparkling wines, home-made, use Champagne bottles.</t>
  </si>
  <si>
    <t>4 Max.</t>
  </si>
  <si>
    <t>A FEW TYPICAL BEER STYLES CARBONATION LEVELS</t>
  </si>
  <si>
    <r>
      <rPr>
        <b/>
        <sz val="20"/>
        <color indexed="8"/>
        <rFont val="Times New Roman"/>
        <family val="1"/>
      </rPr>
      <t xml:space="preserve">  </t>
    </r>
    <r>
      <rPr>
        <b/>
        <u/>
        <sz val="24"/>
        <color indexed="8"/>
        <rFont val="Times New Roman"/>
        <family val="1"/>
      </rPr>
      <t>P</t>
    </r>
    <r>
      <rPr>
        <b/>
        <u/>
        <sz val="20"/>
        <color indexed="8"/>
        <rFont val="Times New Roman"/>
        <family val="1"/>
      </rPr>
      <t xml:space="preserve">ete's </t>
    </r>
    <r>
      <rPr>
        <b/>
        <u/>
        <sz val="24"/>
        <color indexed="8"/>
        <rFont val="Times New Roman"/>
        <family val="1"/>
      </rPr>
      <t>P</t>
    </r>
    <r>
      <rPr>
        <b/>
        <u/>
        <sz val="20"/>
        <color indexed="8"/>
        <rFont val="Times New Roman"/>
        <family val="1"/>
      </rPr>
      <t xml:space="preserve">riming </t>
    </r>
    <r>
      <rPr>
        <b/>
        <u/>
        <sz val="24"/>
        <color indexed="8"/>
        <rFont val="Times New Roman"/>
        <family val="1"/>
      </rPr>
      <t>C</t>
    </r>
    <r>
      <rPr>
        <b/>
        <u/>
        <sz val="20"/>
        <color indexed="8"/>
        <rFont val="Times New Roman"/>
        <family val="1"/>
      </rPr>
      <t xml:space="preserve">alc's </t>
    </r>
    <r>
      <rPr>
        <b/>
        <u/>
        <sz val="24"/>
        <color indexed="8"/>
        <rFont val="Times New Roman"/>
        <family val="1"/>
      </rPr>
      <t>F</t>
    </r>
    <r>
      <rPr>
        <b/>
        <u/>
        <sz val="20"/>
        <color indexed="8"/>
        <rFont val="Times New Roman"/>
        <family val="1"/>
      </rPr>
      <t xml:space="preserve">or  </t>
    </r>
    <r>
      <rPr>
        <b/>
        <u/>
        <sz val="24"/>
        <color indexed="8"/>
        <rFont val="Times New Roman"/>
        <family val="1"/>
      </rPr>
      <t>H</t>
    </r>
    <r>
      <rPr>
        <b/>
        <u/>
        <sz val="20"/>
        <color indexed="8"/>
        <rFont val="Times New Roman"/>
        <family val="1"/>
      </rPr>
      <t xml:space="preserve">ome </t>
    </r>
    <r>
      <rPr>
        <b/>
        <u/>
        <sz val="24"/>
        <color indexed="8"/>
        <rFont val="Times New Roman"/>
        <family val="1"/>
      </rPr>
      <t>B</t>
    </r>
    <r>
      <rPr>
        <b/>
        <u/>
        <sz val="20"/>
        <color indexed="8"/>
        <rFont val="Times New Roman"/>
        <family val="1"/>
      </rPr>
      <t xml:space="preserve">rewed </t>
    </r>
    <r>
      <rPr>
        <b/>
        <u/>
        <sz val="24"/>
        <color indexed="8"/>
        <rFont val="Times New Roman"/>
        <family val="1"/>
      </rPr>
      <t>B</t>
    </r>
    <r>
      <rPr>
        <b/>
        <u/>
        <sz val="20"/>
        <color indexed="8"/>
        <rFont val="Times New Roman"/>
        <family val="1"/>
      </rPr>
      <t xml:space="preserve">eers &amp; </t>
    </r>
    <r>
      <rPr>
        <b/>
        <u/>
        <sz val="24"/>
        <color indexed="8"/>
        <rFont val="Times New Roman"/>
        <family val="1"/>
      </rPr>
      <t>Wi</t>
    </r>
    <r>
      <rPr>
        <b/>
        <u/>
        <sz val="20"/>
        <color indexed="8"/>
        <rFont val="Times New Roman"/>
        <family val="1"/>
      </rPr>
      <t xml:space="preserve">nes </t>
    </r>
    <r>
      <rPr>
        <b/>
        <u/>
        <sz val="24"/>
        <color indexed="8"/>
        <rFont val="Times New Roman"/>
        <family val="1"/>
      </rPr>
      <t>E</t>
    </r>
    <r>
      <rPr>
        <b/>
        <u/>
        <sz val="20"/>
        <color indexed="8"/>
        <rFont val="Times New Roman"/>
        <family val="1"/>
      </rPr>
      <t>tc.</t>
    </r>
  </si>
  <si>
    <r>
      <t>The "</t>
    </r>
    <r>
      <rPr>
        <b/>
        <sz val="11"/>
        <color indexed="8"/>
        <rFont val="Times New Roman"/>
        <family val="1"/>
      </rPr>
      <t>Brew Temp.</t>
    </r>
    <r>
      <rPr>
        <sz val="11"/>
        <rFont val="Times New Roman"/>
        <family val="1"/>
      </rPr>
      <t xml:space="preserve">" includes the resting or bulk maturing temperature. The fermentation </t>
    </r>
    <r>
      <rPr>
        <b/>
        <sz val="11"/>
        <color indexed="8"/>
        <rFont val="Times New Roman"/>
        <family val="1"/>
      </rPr>
      <t>must</t>
    </r>
    <r>
      <rPr>
        <sz val="11"/>
        <rFont val="Times New Roman"/>
        <family val="1"/>
      </rPr>
      <t xml:space="preserve"> be complete.</t>
    </r>
  </si>
  <si>
    <r>
      <t>Volume CO</t>
    </r>
    <r>
      <rPr>
        <b/>
        <sz val="7"/>
        <color indexed="8"/>
        <rFont val="Times New Roman"/>
        <family val="1"/>
      </rPr>
      <t>2</t>
    </r>
  </si>
  <si>
    <t xml:space="preserve">American Amber Ale </t>
  </si>
  <si>
    <t>Sugar (Sucrose) g/</t>
  </si>
  <si>
    <t>Temp.</t>
  </si>
  <si>
    <t>level 5ml tsp.</t>
  </si>
  <si>
    <t>Sugar (Sucrose) oz/</t>
  </si>
  <si>
    <t>Priming Sugar (Sucrose)</t>
  </si>
  <si>
    <t>g ̸ litre</t>
  </si>
  <si>
    <t>3.15g ̸ litre (1 level 5ml tsp) for (British) ales.</t>
  </si>
  <si>
    <t>4.725g ̸ litre (1.5 level tsp) for porters ̸ stouts.</t>
  </si>
  <si>
    <t>OR, for a</t>
  </si>
  <si>
    <t>ml bottle</t>
  </si>
  <si>
    <t>Sucrose</t>
  </si>
  <si>
    <t>"Sugar" wt. ̸ tsp</t>
  </si>
  <si>
    <r>
      <t>Vol. CO</t>
    </r>
    <r>
      <rPr>
        <sz val="8"/>
        <color indexed="8"/>
        <rFont val="Times New Roman"/>
        <family val="1"/>
      </rPr>
      <t>2</t>
    </r>
  </si>
  <si>
    <r>
      <rPr>
        <sz val="12"/>
        <color indexed="8"/>
        <rFont val="Times New Roman"/>
        <family val="1"/>
      </rPr>
      <t>°</t>
    </r>
    <r>
      <rPr>
        <sz val="11"/>
        <rFont val="Times New Roman"/>
        <family val="1"/>
      </rPr>
      <t xml:space="preserve">C </t>
    </r>
  </si>
  <si>
    <r>
      <rPr>
        <sz val="12"/>
        <color theme="0" tint="-0.499984740745262"/>
        <rFont val="Times New Roman"/>
        <family val="1"/>
      </rPr>
      <t>°</t>
    </r>
    <r>
      <rPr>
        <sz val="11"/>
        <color theme="0" tint="-0.499984740745262"/>
        <rFont val="Times New Roman"/>
        <family val="1"/>
      </rPr>
      <t xml:space="preserve">F </t>
    </r>
  </si>
  <si>
    <t>Sucrose g ̸ l</t>
  </si>
  <si>
    <t>Max. rec. 4</t>
  </si>
  <si>
    <r>
      <t>0-30</t>
    </r>
    <r>
      <rPr>
        <sz val="12"/>
        <color theme="0" tint="-0.499984740745262"/>
        <rFont val="Times New Roman"/>
        <family val="1"/>
      </rPr>
      <t>°</t>
    </r>
    <r>
      <rPr>
        <sz val="11"/>
        <color theme="0" tint="-0.499984740745262"/>
        <rFont val="Times New Roman"/>
        <family val="1"/>
      </rPr>
      <t>C</t>
    </r>
  </si>
  <si>
    <t>Where 1g Sucrose gives</t>
  </si>
  <si>
    <r>
      <t>litres CO</t>
    </r>
    <r>
      <rPr>
        <sz val="8"/>
        <color indexed="8"/>
        <rFont val="Times New Roman"/>
        <family val="1"/>
      </rPr>
      <t>2</t>
    </r>
  </si>
  <si>
    <t>Nominally</t>
  </si>
  <si>
    <t>Where 1g Glucose gives</t>
  </si>
  <si>
    <r>
      <rPr>
        <b/>
        <sz val="10"/>
        <color indexed="10"/>
        <rFont val="Times New Roman"/>
        <family val="1"/>
      </rPr>
      <t>Disclaime</t>
    </r>
    <r>
      <rPr>
        <b/>
        <sz val="10"/>
        <color rgb="FFFF0000"/>
        <rFont val="Times New Roman"/>
        <family val="1"/>
      </rPr>
      <t>r</t>
    </r>
    <r>
      <rPr>
        <sz val="10"/>
        <color rgb="FFFF0000"/>
        <rFont val="Times New Roman"/>
        <family val="1"/>
      </rPr>
      <t xml:space="preserve">: </t>
    </r>
    <r>
      <rPr>
        <sz val="10"/>
        <rFont val="Times New Roman"/>
        <family val="1"/>
      </rPr>
      <t>E&amp;OE. No responsibility is assumed or implied as a result of using this spreadsheet.</t>
    </r>
  </si>
  <si>
    <t>h</t>
  </si>
  <si>
    <t>For a finished volume of beer</t>
  </si>
  <si>
    <t>fl oz =</t>
  </si>
  <si>
    <t>Dry Malt Extract</t>
  </si>
  <si>
    <t>Liquid Malt Extract</t>
  </si>
  <si>
    <t>1 UK Pt</t>
  </si>
  <si>
    <t>1 litre</t>
  </si>
  <si>
    <t>1 US Pt</t>
  </si>
  <si>
    <r>
      <t>Total "sugars"</t>
    </r>
    <r>
      <rPr>
        <sz val="9"/>
        <color indexed="17"/>
        <rFont val="Times New Roman"/>
        <family val="1"/>
      </rPr>
      <t xml:space="preserve"> </t>
    </r>
    <r>
      <rPr>
        <sz val="9"/>
        <color indexed="50"/>
        <rFont val="Times New Roman"/>
        <family val="1"/>
      </rPr>
      <t>(exc.primer etc.)</t>
    </r>
  </si>
  <si>
    <r>
      <t>Total "sugars"</t>
    </r>
    <r>
      <rPr>
        <sz val="10"/>
        <color indexed="17"/>
        <rFont val="Times New Roman"/>
        <family val="1"/>
      </rPr>
      <t xml:space="preserve"> </t>
    </r>
    <r>
      <rPr>
        <sz val="10"/>
        <color rgb="FF99CC00"/>
        <rFont val="Times New Roman"/>
        <family val="1"/>
      </rPr>
      <t>(exc. primer / lactose)</t>
    </r>
  </si>
  <si>
    <r>
      <t>O.G.</t>
    </r>
    <r>
      <rPr>
        <sz val="10"/>
        <color indexed="17"/>
        <rFont val="Times New Roman"/>
        <family val="1"/>
      </rPr>
      <t xml:space="preserve"> (exc. primer / lactose)</t>
    </r>
  </si>
  <si>
    <r>
      <t>F.G.</t>
    </r>
    <r>
      <rPr>
        <sz val="10"/>
        <color indexed="54"/>
        <rFont val="Times New Roman"/>
        <family val="1"/>
      </rPr>
      <t xml:space="preserve"> </t>
    </r>
    <r>
      <rPr>
        <sz val="10"/>
        <color indexed="17"/>
        <rFont val="Times New Roman"/>
        <family val="1"/>
      </rPr>
      <t>(exc. Primer / lactose)</t>
    </r>
  </si>
  <si>
    <r>
      <t>F.G.</t>
    </r>
    <r>
      <rPr>
        <sz val="10"/>
        <color indexed="54"/>
        <rFont val="Times New Roman"/>
        <family val="1"/>
      </rPr>
      <t xml:space="preserve"> </t>
    </r>
    <r>
      <rPr>
        <sz val="10"/>
        <color indexed="17"/>
        <rFont val="Times New Roman"/>
        <family val="1"/>
      </rPr>
      <t>(exc. primer / lactose)</t>
    </r>
  </si>
  <si>
    <r>
      <t>Carbonation Vol's CO</t>
    </r>
    <r>
      <rPr>
        <sz val="8"/>
        <color indexed="8"/>
        <rFont val="Times New Roman"/>
        <family val="1"/>
      </rPr>
      <t>2</t>
    </r>
    <r>
      <rPr>
        <sz val="10"/>
        <color indexed="8"/>
        <rFont val="Times New Roman"/>
        <family val="1"/>
      </rPr>
      <t xml:space="preserve"> </t>
    </r>
    <r>
      <rPr>
        <sz val="10"/>
        <color indexed="57"/>
        <rFont val="Times New Roman"/>
        <family val="1"/>
      </rPr>
      <t>(exc. primer)</t>
    </r>
  </si>
  <si>
    <r>
      <rPr>
        <sz val="12"/>
        <color theme="1"/>
        <rFont val="Times New Roman"/>
        <family val="1"/>
      </rPr>
      <t>°</t>
    </r>
    <r>
      <rPr>
        <sz val="11"/>
        <color theme="1"/>
        <rFont val="Times New Roman"/>
        <family val="1"/>
      </rPr>
      <t>C</t>
    </r>
  </si>
  <si>
    <r>
      <t>Typical sucrose priming rates @ 20</t>
    </r>
    <r>
      <rPr>
        <b/>
        <sz val="12"/>
        <color indexed="8"/>
        <rFont val="Times New Roman"/>
        <family val="1"/>
      </rPr>
      <t>°</t>
    </r>
    <r>
      <rPr>
        <b/>
        <sz val="11"/>
        <color indexed="8"/>
        <rFont val="Times New Roman"/>
        <family val="1"/>
      </rPr>
      <t>C</t>
    </r>
  </si>
  <si>
    <t>US Galls</t>
  </si>
  <si>
    <t>UK Galls</t>
  </si>
  <si>
    <t xml:space="preserve">Volume CO2 to PSI or Atm. or Bar </t>
  </si>
  <si>
    <t>Bottling vol. (after losses)</t>
  </si>
  <si>
    <r>
      <t>Density of ethyl alcohol at 20</t>
    </r>
    <r>
      <rPr>
        <sz val="12"/>
        <color indexed="8"/>
        <rFont val="Times New Roman"/>
        <family val="1"/>
      </rPr>
      <t>°</t>
    </r>
    <r>
      <rPr>
        <sz val="10"/>
        <color indexed="8"/>
        <rFont val="Times New Roman"/>
        <family val="1"/>
      </rPr>
      <t>C =</t>
    </r>
  </si>
  <si>
    <r>
      <t xml:space="preserve">Proof max. </t>
    </r>
    <r>
      <rPr>
        <sz val="10"/>
        <color rgb="FFFF0000"/>
        <rFont val="Times New Roman"/>
        <family val="1"/>
      </rPr>
      <t>UK 175</t>
    </r>
    <r>
      <rPr>
        <sz val="11"/>
        <color rgb="FFFF0000"/>
        <rFont val="Times New Roman"/>
        <family val="1"/>
      </rPr>
      <t>°</t>
    </r>
    <r>
      <rPr>
        <sz val="10"/>
        <color indexed="8"/>
        <rFont val="Times New Roman"/>
        <family val="1"/>
      </rPr>
      <t xml:space="preserve"> ̸ </t>
    </r>
    <r>
      <rPr>
        <sz val="10"/>
        <color rgb="FFFF00FF"/>
        <rFont val="Times New Roman"/>
        <family val="1"/>
      </rPr>
      <t>USA 200</t>
    </r>
    <r>
      <rPr>
        <sz val="11"/>
        <color rgb="FFFF00FF"/>
        <rFont val="Times New Roman"/>
        <family val="1"/>
      </rPr>
      <t>°</t>
    </r>
    <r>
      <rPr>
        <sz val="10"/>
        <color indexed="8"/>
        <rFont val="Times New Roman"/>
        <family val="1"/>
      </rPr>
      <t>. All temperatures are assumed to be at around 20</t>
    </r>
    <r>
      <rPr>
        <sz val="11"/>
        <color indexed="8"/>
        <rFont val="Times New Roman"/>
        <family val="1"/>
      </rPr>
      <t>°</t>
    </r>
    <r>
      <rPr>
        <sz val="10"/>
        <color indexed="8"/>
        <rFont val="Times New Roman"/>
        <family val="1"/>
      </rPr>
      <t xml:space="preserve">C. </t>
    </r>
    <r>
      <rPr>
        <sz val="10"/>
        <color rgb="FFFF0000"/>
        <rFont val="Times New Roman"/>
        <family val="1"/>
      </rPr>
      <t>Just try other calc's for 100% ABV or 100% ABW!</t>
    </r>
    <r>
      <rPr>
        <sz val="10"/>
        <color indexed="8"/>
        <rFont val="Times New Roman"/>
        <family val="1"/>
      </rPr>
      <t xml:space="preserve"> (BUT, to me, 100% ABV implies 100% ABW.)</t>
    </r>
  </si>
  <si>
    <r>
      <t xml:space="preserve"> MAX </t>
    </r>
    <r>
      <rPr>
        <sz val="8"/>
        <color rgb="FFFF0000"/>
        <rFont val="Times New Roman"/>
        <family val="1"/>
      </rPr>
      <t>#</t>
    </r>
  </si>
  <si>
    <t>Rhubarb</t>
  </si>
  <si>
    <t>Real Attenuation</t>
  </si>
  <si>
    <t>Apparent Attenuation,  unprimed</t>
  </si>
  <si>
    <t>Apparent Attenuation, unprimed</t>
  </si>
  <si>
    <t>28~10~'20</t>
  </si>
  <si>
    <t>Golden Syrup (Treacle)</t>
  </si>
  <si>
    <t>This calc. is "STAND ALONE".</t>
  </si>
  <si>
    <r>
      <t>Celsius temperatures are entered in the range of 0-30</t>
    </r>
    <r>
      <rPr>
        <sz val="12"/>
        <color indexed="8"/>
        <rFont val="Times New Roman"/>
        <family val="1"/>
      </rPr>
      <t>°</t>
    </r>
    <r>
      <rPr>
        <sz val="11"/>
        <rFont val="Times New Roman"/>
        <family val="1"/>
      </rPr>
      <t xml:space="preserve"> in 1</t>
    </r>
    <r>
      <rPr>
        <sz val="12"/>
        <color indexed="8"/>
        <rFont val="Times New Roman"/>
        <family val="1"/>
      </rPr>
      <t>°</t>
    </r>
    <r>
      <rPr>
        <sz val="11"/>
        <rFont val="Times New Roman"/>
        <family val="1"/>
      </rPr>
      <t xml:space="preserve"> steps &amp; from 32-86</t>
    </r>
    <r>
      <rPr>
        <sz val="12"/>
        <color indexed="8"/>
        <rFont val="Times New Roman"/>
        <family val="1"/>
      </rPr>
      <t>°</t>
    </r>
    <r>
      <rPr>
        <sz val="11"/>
        <rFont val="Times New Roman"/>
        <family val="1"/>
      </rPr>
      <t>F in approx. 2</t>
    </r>
    <r>
      <rPr>
        <sz val="12"/>
        <color indexed="8"/>
        <rFont val="Times New Roman"/>
        <family val="1"/>
      </rPr>
      <t>°</t>
    </r>
    <r>
      <rPr>
        <sz val="11"/>
        <rFont val="Times New Roman"/>
        <family val="1"/>
      </rPr>
      <t xml:space="preserve"> steps.</t>
    </r>
  </si>
  <si>
    <r>
      <rPr>
        <b/>
        <sz val="11"/>
        <color indexed="8"/>
        <rFont val="Times New Roman"/>
        <family val="1"/>
      </rPr>
      <t>LITRES</t>
    </r>
    <r>
      <rPr>
        <sz val="11"/>
        <rFont val="Times New Roman"/>
        <family val="1"/>
      </rPr>
      <t xml:space="preserve">, Initial vol. </t>
    </r>
  </si>
  <si>
    <t>Brewing sugar g/</t>
  </si>
  <si>
    <r>
      <rPr>
        <b/>
        <sz val="11"/>
        <color indexed="8"/>
        <rFont val="Times New Roman"/>
        <family val="1"/>
      </rPr>
      <t>UK</t>
    </r>
    <r>
      <rPr>
        <sz val="11"/>
        <rFont val="Times New Roman"/>
        <family val="1"/>
      </rPr>
      <t xml:space="preserve"> galls, Initial vol. </t>
    </r>
  </si>
  <si>
    <r>
      <rPr>
        <b/>
        <sz val="11"/>
        <color theme="1"/>
        <rFont val="Times New Roman"/>
        <family val="1"/>
      </rPr>
      <t>OR</t>
    </r>
    <r>
      <rPr>
        <sz val="11"/>
        <color theme="1"/>
        <rFont val="Times New Roman"/>
        <family val="1"/>
      </rPr>
      <t xml:space="preserve"> brewing sugar required</t>
    </r>
  </si>
  <si>
    <t>Belgian Wit</t>
  </si>
  <si>
    <r>
      <rPr>
        <b/>
        <sz val="11"/>
        <color indexed="8"/>
        <rFont val="Times New Roman"/>
        <family val="1"/>
      </rPr>
      <t>US</t>
    </r>
    <r>
      <rPr>
        <sz val="11"/>
        <rFont val="Times New Roman"/>
        <family val="1"/>
      </rPr>
      <t xml:space="preserve"> galls, Initial vol. </t>
    </r>
  </si>
  <si>
    <t>Brewing Sugar (Invert)</t>
  </si>
  <si>
    <t>General Batch Priming</t>
  </si>
  <si>
    <t>litres of racked beer.</t>
  </si>
  <si>
    <t>Molasses (Blackstrap)</t>
  </si>
  <si>
    <r>
      <rPr>
        <sz val="12"/>
        <color indexed="8"/>
        <rFont val="Times New Roman"/>
        <family val="1"/>
      </rPr>
      <t>°</t>
    </r>
    <r>
      <rPr>
        <sz val="11"/>
        <rFont val="Times New Roman"/>
        <family val="1"/>
      </rPr>
      <t>C</t>
    </r>
  </si>
  <si>
    <r>
      <rPr>
        <sz val="12"/>
        <color indexed="8"/>
        <rFont val="Times New Roman"/>
        <family val="1"/>
      </rPr>
      <t>°</t>
    </r>
    <r>
      <rPr>
        <sz val="11"/>
        <rFont val="Times New Roman"/>
        <family val="1"/>
      </rPr>
      <t>F</t>
    </r>
  </si>
  <si>
    <t xml:space="preserve">Never use the prohibitively expensive &amp; terrible "carbonation drops".
They are mostly sugar anyway!
Sugar cubes do the same job very economically.
</t>
  </si>
  <si>
    <t>6.3g ̸ litre (2 level tsp) for Trappist ̸ Abbey, wheat beers &amp; lagers.</t>
  </si>
  <si>
    <t>1 level 5ml tsp sugar  =</t>
  </si>
  <si>
    <t>Sugar (Sucrose) Wt.</t>
  </si>
  <si>
    <t>Sucrose/Brewing Sugar Convertions</t>
  </si>
  <si>
    <t>Brewing sug.</t>
  </si>
  <si>
    <r>
      <t>Volume CO</t>
    </r>
    <r>
      <rPr>
        <b/>
        <sz val="8"/>
        <color indexed="8"/>
        <rFont val="Times New Roman"/>
        <family val="1"/>
      </rPr>
      <t>2</t>
    </r>
    <r>
      <rPr>
        <b/>
        <sz val="11"/>
        <color indexed="8"/>
        <rFont val="Times New Roman"/>
        <family val="1"/>
      </rPr>
      <t xml:space="preserve"> Converters to PSI or Atm. or Bar (approx.)</t>
    </r>
  </si>
  <si>
    <t xml:space="preserve"> PSI     OR     Atm.     OR     Bar</t>
  </si>
  <si>
    <t>Brewing g ̸ l</t>
  </si>
  <si>
    <t>Before fermentation, sucrose is hydrolysed into glucose &amp; fructose which have the same chemical formulae but differing atomic structures. (That is why replacing sugar (sucrose) with glucose &amp; fructose results in faster fermentations, hence it's use top commercial brewers.)</t>
  </si>
  <si>
    <t xml:space="preserve">PRIMING NOTES:- </t>
  </si>
  <si>
    <r>
      <t>The typical figures I quote apply to glass bottles only as PET bottles swell under pressure. A value of "2" would indicate 2 litres CO</t>
    </r>
    <r>
      <rPr>
        <sz val="8"/>
        <color indexed="8"/>
        <rFont val="Times New Roman"/>
        <family val="1"/>
      </rPr>
      <t>2</t>
    </r>
    <r>
      <rPr>
        <sz val="11"/>
        <rFont val="Times New Roman"/>
        <family val="1"/>
      </rPr>
      <t xml:space="preserve"> dissolved in 1 litre of beer.
The amount of carbonation in conditioned homebrew is dependent on two things - the residual level of carbon dioxide after fermentation (temperature dependant) &amp; the amount of carbonation added by the priming sugar. Low carbonation favours malty beers whilst high carbonation enhances "hoppiness".
I normally added approx. 3.15g/l (1 level 5ml tsp) sugar to my British ales, 4.275g (1.5 tsp) for stouts &amp; 6.3g (2 tsp) for my Belgian style beers &amp; lagers etc. As you can see, I can now make a more informed choice to suit the brew conditions &amp; style, hopefully avoiding volcanic ales &amp; flat lager. When making highly carbonated drinks the safety factor must be considered. Over 12g sugar can be added per litre of beer, this dosage would give around 4 volumes (near enough 50psi) of CO</t>
    </r>
    <r>
      <rPr>
        <sz val="8"/>
        <color indexed="8"/>
        <rFont val="Times New Roman"/>
        <family val="1"/>
      </rPr>
      <t>2</t>
    </r>
    <r>
      <rPr>
        <sz val="11"/>
        <rFont val="Times New Roman"/>
        <family val="1"/>
      </rPr>
      <t xml:space="preserve"> after the secondary fermentation! Suitable bottles must be used to prevent "bottle-bombs".</t>
    </r>
  </si>
  <si>
    <r>
      <t>C</t>
    </r>
    <r>
      <rPr>
        <vertAlign val="subscript"/>
        <sz val="12"/>
        <color indexed="8"/>
        <rFont val="Times New Roman"/>
        <family val="1"/>
      </rPr>
      <t>12</t>
    </r>
    <r>
      <rPr>
        <sz val="11"/>
        <rFont val="Times New Roman"/>
        <family val="1"/>
      </rPr>
      <t>H</t>
    </r>
    <r>
      <rPr>
        <vertAlign val="subscript"/>
        <sz val="12"/>
        <color indexed="8"/>
        <rFont val="Times New Roman"/>
        <family val="1"/>
      </rPr>
      <t>22</t>
    </r>
    <r>
      <rPr>
        <sz val="11"/>
        <rFont val="Times New Roman"/>
        <family val="1"/>
      </rPr>
      <t>O</t>
    </r>
    <r>
      <rPr>
        <vertAlign val="subscript"/>
        <sz val="12"/>
        <color indexed="8"/>
        <rFont val="Times New Roman"/>
        <family val="1"/>
      </rPr>
      <t>11</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4C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4CO</t>
    </r>
    <r>
      <rPr>
        <vertAlign val="subscript"/>
        <sz val="12"/>
        <color indexed="8"/>
        <rFont val="Times New Roman"/>
        <family val="1"/>
      </rPr>
      <t>2</t>
    </r>
  </si>
  <si>
    <t xml:space="preserve">  Sucrose         Water             Glucose &amp; Fructose        Ethyl Alcohol      Carbon Dioxide</t>
  </si>
  <si>
    <t xml:space="preserve">    342g             18g                         360g                          184g                    176g</t>
  </si>
  <si>
    <t xml:space="preserve">    (8.96 litre)</t>
  </si>
  <si>
    <t xml:space="preserve">     1g            0.0526g                    1.0526g                     0.5380g                0.5146g            </t>
  </si>
  <si>
    <t xml:space="preserve">   (0.0262 litre)</t>
  </si>
  <si>
    <r>
      <t>C</t>
    </r>
    <r>
      <rPr>
        <vertAlign val="subscript"/>
        <sz val="12"/>
        <color indexed="8"/>
        <rFont val="Times New Roman"/>
        <family val="1"/>
      </rPr>
      <t>6</t>
    </r>
    <r>
      <rPr>
        <sz val="11"/>
        <rFont val="Times New Roman"/>
        <family val="1"/>
      </rPr>
      <t>H</t>
    </r>
    <r>
      <rPr>
        <vertAlign val="subscript"/>
        <sz val="12"/>
        <color indexed="8"/>
        <rFont val="Times New Roman"/>
        <family val="1"/>
      </rPr>
      <t>12</t>
    </r>
    <r>
      <rPr>
        <sz val="11"/>
        <rFont val="Times New Roman"/>
        <family val="1"/>
      </rPr>
      <t>O</t>
    </r>
    <r>
      <rPr>
        <vertAlign val="subscript"/>
        <sz val="12"/>
        <color indexed="8"/>
        <rFont val="Times New Roman"/>
        <family val="1"/>
      </rPr>
      <t>6</t>
    </r>
    <r>
      <rPr>
        <sz val="11"/>
        <rFont val="Times New Roman"/>
        <family val="1"/>
      </rPr>
      <t xml:space="preserve">     +     H</t>
    </r>
    <r>
      <rPr>
        <vertAlign val="subscript"/>
        <sz val="12"/>
        <color indexed="8"/>
        <rFont val="Times New Roman"/>
        <family val="1"/>
      </rPr>
      <t>2</t>
    </r>
    <r>
      <rPr>
        <sz val="11"/>
        <rFont val="Times New Roman"/>
        <family val="1"/>
      </rPr>
      <t>O                    2C</t>
    </r>
    <r>
      <rPr>
        <vertAlign val="subscript"/>
        <sz val="12"/>
        <color indexed="8"/>
        <rFont val="Times New Roman"/>
        <family val="1"/>
      </rPr>
      <t>2</t>
    </r>
    <r>
      <rPr>
        <sz val="11"/>
        <rFont val="Times New Roman"/>
        <family val="1"/>
      </rPr>
      <t>H</t>
    </r>
    <r>
      <rPr>
        <vertAlign val="subscript"/>
        <sz val="12"/>
        <color indexed="8"/>
        <rFont val="Times New Roman"/>
        <family val="1"/>
      </rPr>
      <t>5</t>
    </r>
    <r>
      <rPr>
        <sz val="11"/>
        <rFont val="Times New Roman"/>
        <family val="1"/>
      </rPr>
      <t>OH         +          2CO</t>
    </r>
    <r>
      <rPr>
        <vertAlign val="subscript"/>
        <sz val="12"/>
        <color indexed="8"/>
        <rFont val="Times New Roman"/>
        <family val="1"/>
      </rPr>
      <t>2</t>
    </r>
    <r>
      <rPr>
        <sz val="11"/>
        <rFont val="Times New Roman"/>
        <family val="1"/>
      </rPr>
      <t xml:space="preserve">          +          H</t>
    </r>
    <r>
      <rPr>
        <vertAlign val="subscript"/>
        <sz val="12"/>
        <color indexed="8"/>
        <rFont val="Times New Roman"/>
        <family val="1"/>
      </rPr>
      <t>2</t>
    </r>
    <r>
      <rPr>
        <sz val="11"/>
        <rFont val="Times New Roman"/>
        <family val="1"/>
      </rPr>
      <t>O</t>
    </r>
  </si>
  <si>
    <t>Glucose           Water                Ethyl Alcohol           Carbon Dioxide           Water</t>
  </si>
  <si>
    <t xml:space="preserve">  180g                18g                        92g                            88g                        18g</t>
  </si>
  <si>
    <t>Version 5.Xmas</t>
  </si>
  <si>
    <t>25~12~'20</t>
  </si>
  <si>
    <r>
      <rPr>
        <sz val="10"/>
        <color rgb="FFFF0000"/>
        <rFont val="Times New Roman"/>
        <family val="1"/>
      </rPr>
      <t>UK</t>
    </r>
    <r>
      <rPr>
        <sz val="10"/>
        <rFont val="Times New Roman"/>
        <family val="1"/>
      </rPr>
      <t>/</t>
    </r>
    <r>
      <rPr>
        <sz val="10"/>
        <color rgb="FFFF00FF"/>
        <rFont val="Times New Roman"/>
        <family val="1"/>
      </rPr>
      <t>US.</t>
    </r>
  </si>
  <si>
    <t xml:space="preserve"> fl oz</t>
  </si>
  <si>
    <r>
      <t>ESTIMATED INITIAL VOLUME</t>
    </r>
    <r>
      <rPr>
        <sz val="10"/>
        <color rgb="FFFF0000"/>
        <rFont val="Times New Roman"/>
        <family val="1"/>
      </rPr>
      <t xml:space="preserve"> (UK)</t>
    </r>
  </si>
  <si>
    <t>MINIMUM PAN VOLUME (UK)</t>
  </si>
  <si>
    <r>
      <rPr>
        <b/>
        <sz val="10"/>
        <color rgb="FFFF00FF"/>
        <rFont val="Times New Roman"/>
        <family val="1"/>
      </rPr>
      <t>US</t>
    </r>
    <r>
      <rPr>
        <sz val="10"/>
        <color indexed="8"/>
        <rFont val="Times New Roman"/>
        <family val="1"/>
      </rPr>
      <t xml:space="preserve"> Gall</t>
    </r>
  </si>
  <si>
    <r>
      <rPr>
        <b/>
        <sz val="10"/>
        <color rgb="FFFF0000"/>
        <rFont val="Times New Roman"/>
        <family val="1"/>
      </rPr>
      <t>UK</t>
    </r>
    <r>
      <rPr>
        <sz val="10"/>
        <color indexed="8"/>
        <rFont val="Times New Roman"/>
        <family val="1"/>
      </rPr>
      <t xml:space="preserve"> Gall</t>
    </r>
  </si>
  <si>
    <r>
      <rPr>
        <b/>
        <sz val="10"/>
        <color rgb="FFFF00FF"/>
        <rFont val="Times New Roman"/>
        <family val="1"/>
      </rPr>
      <t>US</t>
    </r>
    <r>
      <rPr>
        <sz val="10"/>
        <color indexed="8"/>
        <rFont val="Times New Roman"/>
        <family val="1"/>
      </rPr>
      <t xml:space="preserve"> Pt.</t>
    </r>
  </si>
  <si>
    <r>
      <rPr>
        <b/>
        <sz val="10"/>
        <color rgb="FFFF0000"/>
        <rFont val="Times New Roman"/>
        <family val="1"/>
      </rPr>
      <t>UK</t>
    </r>
    <r>
      <rPr>
        <sz val="10"/>
        <color indexed="8"/>
        <rFont val="Times New Roman"/>
        <family val="1"/>
      </rPr>
      <t xml:space="preserve"> Pt.</t>
    </r>
  </si>
  <si>
    <r>
      <t>lb</t>
    </r>
    <r>
      <rPr>
        <sz val="7"/>
        <color indexed="8"/>
        <rFont val="Times New Roman"/>
        <family val="1"/>
      </rPr>
      <t xml:space="preserve"> </t>
    </r>
    <r>
      <rPr>
        <sz val="10"/>
        <color indexed="8"/>
        <rFont val="Times New Roman"/>
        <family val="1"/>
      </rPr>
      <t>/</t>
    </r>
    <r>
      <rPr>
        <sz val="7"/>
        <color indexed="8"/>
        <rFont val="Times New Roman"/>
        <family val="1"/>
      </rPr>
      <t xml:space="preserve"> </t>
    </r>
    <r>
      <rPr>
        <sz val="10"/>
        <color indexed="8"/>
        <rFont val="Times New Roman"/>
        <family val="1"/>
      </rPr>
      <t xml:space="preserve">gal </t>
    </r>
    <r>
      <rPr>
        <b/>
        <sz val="10"/>
        <color indexed="10"/>
        <rFont val="Times New Roman"/>
        <family val="1"/>
      </rPr>
      <t>UK</t>
    </r>
  </si>
  <si>
    <r>
      <t>oz</t>
    </r>
    <r>
      <rPr>
        <sz val="7"/>
        <color indexed="8"/>
        <rFont val="Times New Roman"/>
        <family val="1"/>
      </rPr>
      <t xml:space="preserve"> </t>
    </r>
    <r>
      <rPr>
        <sz val="10"/>
        <color indexed="8"/>
        <rFont val="Times New Roman"/>
        <family val="1"/>
      </rPr>
      <t>/</t>
    </r>
    <r>
      <rPr>
        <sz val="4"/>
        <color indexed="8"/>
        <rFont val="Times New Roman"/>
        <family val="1"/>
      </rPr>
      <t xml:space="preserve"> </t>
    </r>
    <r>
      <rPr>
        <sz val="10"/>
        <color indexed="8"/>
        <rFont val="Times New Roman"/>
        <family val="1"/>
      </rPr>
      <t>pt</t>
    </r>
    <r>
      <rPr>
        <b/>
        <sz val="10"/>
        <color indexed="8"/>
        <rFont val="Times New Roman"/>
        <family val="1"/>
      </rPr>
      <t xml:space="preserve"> </t>
    </r>
    <r>
      <rPr>
        <b/>
        <sz val="10"/>
        <color indexed="10"/>
        <rFont val="Times New Roman"/>
        <family val="1"/>
      </rPr>
      <t>UK</t>
    </r>
  </si>
  <si>
    <r>
      <t>oz / pt</t>
    </r>
    <r>
      <rPr>
        <sz val="10"/>
        <color indexed="10"/>
        <rFont val="Times New Roman"/>
        <family val="1"/>
      </rPr>
      <t xml:space="preserve"> </t>
    </r>
    <r>
      <rPr>
        <b/>
        <sz val="10"/>
        <color rgb="FFFF00FF"/>
        <rFont val="Times New Roman"/>
        <family val="1"/>
      </rPr>
      <t>US</t>
    </r>
  </si>
  <si>
    <r>
      <t>fl oz</t>
    </r>
    <r>
      <rPr>
        <b/>
        <sz val="10"/>
        <color indexed="10"/>
        <rFont val="Times New Roman"/>
        <family val="1"/>
      </rPr>
      <t xml:space="preserve"> UK</t>
    </r>
  </si>
  <si>
    <r>
      <t xml:space="preserve">fl oz </t>
    </r>
    <r>
      <rPr>
        <b/>
        <sz val="10"/>
        <color rgb="FFFF00FF"/>
        <rFont val="Times New Roman"/>
        <family val="1"/>
      </rPr>
      <t>US</t>
    </r>
  </si>
  <si>
    <r>
      <rPr>
        <b/>
        <sz val="10"/>
        <color rgb="FFFF0000"/>
        <rFont val="Times New Roman"/>
        <family val="1"/>
      </rPr>
      <t>UK</t>
    </r>
    <r>
      <rPr>
        <sz val="10"/>
        <color indexed="8"/>
        <rFont val="Times New Roman"/>
        <family val="1"/>
      </rPr>
      <t xml:space="preserve"> fl oz</t>
    </r>
  </si>
  <si>
    <r>
      <t xml:space="preserve">lb / gal </t>
    </r>
    <r>
      <rPr>
        <b/>
        <sz val="10"/>
        <color rgb="FFFF00FF"/>
        <rFont val="Times New Roman"/>
        <family val="1"/>
      </rPr>
      <t>US</t>
    </r>
  </si>
  <si>
    <t>litres/etc.</t>
  </si>
  <si>
    <t>For</t>
  </si>
  <si>
    <t>Note:- 1 unit in these Calc's =</t>
  </si>
  <si>
    <t>Bottle ̸ glass size</t>
  </si>
  <si>
    <t>No. of bottles ̸ glasses</t>
  </si>
  <si>
    <r>
      <rPr>
        <b/>
        <sz val="10"/>
        <color rgb="FFFF00FF"/>
        <rFont val="Times New Roman"/>
        <family val="1"/>
      </rPr>
      <t>US</t>
    </r>
    <r>
      <rPr>
        <sz val="10"/>
        <color rgb="FF000000"/>
        <rFont val="Arial"/>
        <family val="2"/>
      </rPr>
      <t xml:space="preserve"> fl oz</t>
    </r>
  </si>
  <si>
    <r>
      <rPr>
        <b/>
        <sz val="10"/>
        <color rgb="FFFF0000"/>
        <rFont val="Times New Roman"/>
        <family val="1"/>
      </rPr>
      <t>UK</t>
    </r>
    <r>
      <rPr>
        <sz val="10"/>
        <color rgb="FFFF0000"/>
        <rFont val="Times New Roman"/>
        <family val="1"/>
      </rPr>
      <t xml:space="preserve"> </t>
    </r>
    <r>
      <rPr>
        <sz val="10"/>
        <color rgb="FF000000"/>
        <rFont val="Arial"/>
        <family val="2"/>
      </rPr>
      <t>pt</t>
    </r>
  </si>
  <si>
    <t>Poo!</t>
  </si>
  <si>
    <t>Hello cheeky!</t>
  </si>
  <si>
    <t>Rhubarb!</t>
  </si>
  <si>
    <t>Hello.</t>
  </si>
  <si>
    <r>
      <t>Wot about Yorkshire Stingo?  A very special ale, which deserves a class of it's own at No. 1!</t>
    </r>
    <r>
      <rPr>
        <b/>
        <sz val="13"/>
        <color theme="0"/>
        <rFont val="Times New Roman"/>
        <family val="1"/>
      </rPr>
      <t xml:space="preserve"> Truly a </t>
    </r>
    <r>
      <rPr>
        <b/>
        <u/>
        <sz val="13"/>
        <color theme="0"/>
        <rFont val="Times New Roman"/>
        <family val="1"/>
      </rPr>
      <t>PROPPER</t>
    </r>
    <r>
      <rPr>
        <b/>
        <sz val="13"/>
        <color theme="0"/>
        <rFont val="Times New Roman"/>
        <family val="1"/>
      </rPr>
      <t xml:space="preserve"> beer. Most </t>
    </r>
    <r>
      <rPr>
        <sz val="10"/>
        <color theme="0"/>
        <rFont val="Times New Roman"/>
        <family val="1"/>
      </rPr>
      <t>Standard American Beers!! Yuck!!!</t>
    </r>
  </si>
</sst>
</file>

<file path=xl/styles.xml><?xml version="1.0" encoding="utf-8"?>
<styleSheet xmlns="http://schemas.openxmlformats.org/spreadsheetml/2006/main">
  <numFmts count="12">
    <numFmt numFmtId="164" formatCode="0.0"/>
    <numFmt numFmtId="165" formatCode="0.000"/>
    <numFmt numFmtId="166" formatCode="0.00000"/>
    <numFmt numFmtId="167" formatCode="0.0000"/>
    <numFmt numFmtId="168" formatCode="0.000000"/>
    <numFmt numFmtId="169" formatCode="0.0%"/>
    <numFmt numFmtId="170" formatCode="0.0000000"/>
    <numFmt numFmtId="171" formatCode="#,##0.0"/>
    <numFmt numFmtId="172" formatCode="0_ ;[Red]\-0\ "/>
    <numFmt numFmtId="173" formatCode="0.00_ ;[Red]\-0.00\ "/>
    <numFmt numFmtId="174" formatCode="\£#,##0.00"/>
    <numFmt numFmtId="175" formatCode="[$£-809]* \ #,##0.00"/>
  </numFmts>
  <fonts count="328">
    <font>
      <sz val="11"/>
      <name val="Times New Roman"/>
    </font>
    <font>
      <sz val="11"/>
      <name val="Times New Roman"/>
      <family val="1"/>
    </font>
    <font>
      <u/>
      <sz val="11"/>
      <color indexed="12"/>
      <name val="Times New Roman"/>
      <family val="1"/>
    </font>
    <font>
      <sz val="10"/>
      <name val="Times New Roman"/>
      <family val="1"/>
    </font>
    <font>
      <sz val="11"/>
      <name val="Times New Roman"/>
      <family val="1"/>
    </font>
    <font>
      <sz val="10"/>
      <name val="Times New Roman"/>
      <family val="1"/>
    </font>
    <font>
      <sz val="8"/>
      <color indexed="23"/>
      <name val="Times New Roman"/>
      <family val="1"/>
    </font>
    <font>
      <sz val="8"/>
      <color indexed="55"/>
      <name val="Times New Roman"/>
      <family val="1"/>
    </font>
    <font>
      <sz val="10.5"/>
      <name val="Times New Roman"/>
      <family val="1"/>
    </font>
    <font>
      <sz val="9"/>
      <name val="Times New Roman"/>
      <family val="1"/>
    </font>
    <font>
      <sz val="8"/>
      <name val="Times New Roman"/>
      <family val="1"/>
    </font>
    <font>
      <sz val="10"/>
      <color indexed="10"/>
      <name val="Times New Roman"/>
      <family val="1"/>
    </font>
    <font>
      <sz val="10"/>
      <color indexed="10"/>
      <name val="Times New Roman"/>
      <family val="1"/>
    </font>
    <font>
      <sz val="10"/>
      <color indexed="55"/>
      <name val="Times New Roman"/>
      <family val="1"/>
    </font>
    <font>
      <sz val="11"/>
      <color indexed="10"/>
      <name val="Times New Roman"/>
      <family val="1"/>
    </font>
    <font>
      <sz val="10"/>
      <color indexed="23"/>
      <name val="Times New Roman"/>
      <family val="1"/>
    </font>
    <font>
      <sz val="10"/>
      <color indexed="12"/>
      <name val="Times New Roman"/>
      <family val="1"/>
    </font>
    <font>
      <b/>
      <sz val="11"/>
      <color indexed="10"/>
      <name val="Times New Roman"/>
      <family val="1"/>
    </font>
    <font>
      <sz val="8"/>
      <color indexed="10"/>
      <name val="Times New Roman"/>
      <family val="1"/>
    </font>
    <font>
      <sz val="9"/>
      <color indexed="55"/>
      <name val="Times New Roman"/>
      <family val="1"/>
    </font>
    <font>
      <b/>
      <sz val="10"/>
      <name val="Times New Roman"/>
      <family val="1"/>
    </font>
    <font>
      <sz val="10"/>
      <color indexed="23"/>
      <name val="Times New Roman"/>
      <family val="1"/>
    </font>
    <font>
      <sz val="8"/>
      <color indexed="23"/>
      <name val="Times New Roman"/>
      <family val="1"/>
    </font>
    <font>
      <sz val="8"/>
      <name val="Times New Roman"/>
      <family val="1"/>
    </font>
    <font>
      <sz val="9"/>
      <name val="Times New Roman"/>
      <family val="1"/>
    </font>
    <font>
      <u/>
      <sz val="8"/>
      <color indexed="12"/>
      <name val="Times New Roman"/>
      <family val="1"/>
    </font>
    <font>
      <sz val="8"/>
      <color indexed="55"/>
      <name val="Times New Roman"/>
      <family val="1"/>
    </font>
    <font>
      <sz val="11"/>
      <color indexed="9"/>
      <name val="Times New Roman"/>
      <family val="1"/>
    </font>
    <font>
      <sz val="10"/>
      <name val="Arial"/>
      <family val="2"/>
    </font>
    <font>
      <sz val="12"/>
      <name val="Times New Roman"/>
      <family val="1"/>
    </font>
    <font>
      <b/>
      <sz val="12"/>
      <color indexed="10"/>
      <name val="Times New Roman"/>
      <family val="1"/>
    </font>
    <font>
      <sz val="11"/>
      <color indexed="14"/>
      <name val="Times New Roman"/>
      <family val="1"/>
    </font>
    <font>
      <sz val="10"/>
      <color indexed="57"/>
      <name val="Times New Roman"/>
      <family val="1"/>
    </font>
    <font>
      <sz val="10"/>
      <color indexed="9"/>
      <name val="Times New Roman"/>
      <family val="1"/>
    </font>
    <font>
      <b/>
      <u/>
      <sz val="10"/>
      <name val="Times New Roman"/>
      <family val="1"/>
    </font>
    <font>
      <b/>
      <i/>
      <u/>
      <sz val="10"/>
      <color indexed="10"/>
      <name val="Times New Roman"/>
      <family val="1"/>
    </font>
    <font>
      <i/>
      <sz val="10"/>
      <name val="Times New Roman"/>
      <family val="1"/>
    </font>
    <font>
      <sz val="10"/>
      <color indexed="55"/>
      <name val="Times New Roman"/>
      <family val="1"/>
    </font>
    <font>
      <b/>
      <sz val="9"/>
      <name val="Times New Roman"/>
      <family val="1"/>
    </font>
    <font>
      <b/>
      <sz val="10"/>
      <color indexed="20"/>
      <name val="Times New Roman"/>
      <family val="1"/>
    </font>
    <font>
      <b/>
      <sz val="10"/>
      <color indexed="10"/>
      <name val="Times New Roman"/>
      <family val="1"/>
    </font>
    <font>
      <sz val="7"/>
      <name val="Times New Roman"/>
      <family val="1"/>
    </font>
    <font>
      <sz val="10"/>
      <color indexed="20"/>
      <name val="Times New Roman"/>
      <family val="1"/>
    </font>
    <font>
      <i/>
      <sz val="10"/>
      <color indexed="10"/>
      <name val="Times New Roman"/>
      <family val="1"/>
    </font>
    <font>
      <i/>
      <sz val="10"/>
      <color indexed="10"/>
      <name val="Times New Roman"/>
      <family val="1"/>
    </font>
    <font>
      <sz val="7"/>
      <color indexed="22"/>
      <name val="Times New Roman"/>
      <family val="1"/>
    </font>
    <font>
      <sz val="7"/>
      <name val="Times New Roman"/>
      <family val="1"/>
    </font>
    <font>
      <sz val="10"/>
      <color indexed="8"/>
      <name val="Times New Roman"/>
      <family val="1"/>
    </font>
    <font>
      <sz val="8"/>
      <color indexed="22"/>
      <name val="Times New Roman"/>
      <family val="1"/>
    </font>
    <font>
      <sz val="5.5"/>
      <name val="Times New Roman"/>
      <family val="1"/>
    </font>
    <font>
      <b/>
      <sz val="11"/>
      <name val="Times New Roman"/>
      <family val="1"/>
    </font>
    <font>
      <u/>
      <sz val="11"/>
      <name val="Times New Roman"/>
      <family val="1"/>
    </font>
    <font>
      <u/>
      <sz val="10"/>
      <color indexed="12"/>
      <name val="Times New Roman"/>
      <family val="1"/>
    </font>
    <font>
      <b/>
      <sz val="9"/>
      <color indexed="60"/>
      <name val="Times New Roman"/>
      <family val="1"/>
    </font>
    <font>
      <b/>
      <u/>
      <sz val="12"/>
      <color indexed="10"/>
      <name val="Times New Roman"/>
      <family val="1"/>
    </font>
    <font>
      <u/>
      <sz val="9"/>
      <color indexed="12"/>
      <name val="Times New Roman"/>
      <family val="1"/>
    </font>
    <font>
      <sz val="8"/>
      <color indexed="10"/>
      <name val="Times New Roman"/>
      <family val="1"/>
    </font>
    <font>
      <sz val="10"/>
      <color indexed="48"/>
      <name val="Times New Roman"/>
      <family val="1"/>
    </font>
    <font>
      <sz val="10"/>
      <color indexed="14"/>
      <name val="Times New Roman"/>
      <family val="1"/>
    </font>
    <font>
      <b/>
      <u/>
      <sz val="10"/>
      <color indexed="8"/>
      <name val="Times New Roman"/>
      <family val="1"/>
    </font>
    <font>
      <b/>
      <sz val="10"/>
      <color indexed="8"/>
      <name val="Times New Roman"/>
      <family val="1"/>
    </font>
    <font>
      <sz val="9"/>
      <color indexed="8"/>
      <name val="Times New Roman"/>
      <family val="1"/>
    </font>
    <font>
      <b/>
      <sz val="9"/>
      <color indexed="10"/>
      <name val="Times New Roman"/>
      <family val="1"/>
    </font>
    <font>
      <sz val="8"/>
      <color indexed="63"/>
      <name val="Times New Roman"/>
      <family val="1"/>
    </font>
    <font>
      <sz val="10"/>
      <color indexed="63"/>
      <name val="Times New Roman"/>
      <family val="1"/>
    </font>
    <font>
      <u/>
      <sz val="11"/>
      <color indexed="53"/>
      <name val="Times New Roman"/>
      <family val="1"/>
    </font>
    <font>
      <sz val="10"/>
      <color indexed="53"/>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Times New Roman"/>
      <family val="1"/>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indexed="8"/>
      <name val="Times New Roman"/>
      <family val="1"/>
    </font>
    <font>
      <b/>
      <u/>
      <sz val="14"/>
      <name val="Times New Roman"/>
      <family val="1"/>
    </font>
    <font>
      <b/>
      <u/>
      <sz val="10"/>
      <color indexed="10"/>
      <name val="Times New Roman"/>
      <family val="1"/>
    </font>
    <font>
      <b/>
      <sz val="11"/>
      <color indexed="17"/>
      <name val="Times New Roman"/>
      <family val="1"/>
    </font>
    <font>
      <i/>
      <sz val="10"/>
      <name val="Times New Roman"/>
      <family val="1"/>
    </font>
    <font>
      <sz val="10.5"/>
      <name val="Times New Roman"/>
      <family val="1"/>
    </font>
    <font>
      <sz val="9"/>
      <color indexed="10"/>
      <name val="Times New Roman"/>
      <family val="1"/>
    </font>
    <font>
      <b/>
      <sz val="12"/>
      <name val="Times New Roman"/>
      <family val="1"/>
    </font>
    <font>
      <b/>
      <sz val="10"/>
      <color indexed="53"/>
      <name val="Times New Roman"/>
      <family val="1"/>
    </font>
    <font>
      <sz val="11"/>
      <color indexed="55"/>
      <name val="Times New Roman"/>
      <family val="1"/>
    </font>
    <font>
      <sz val="11"/>
      <color indexed="20"/>
      <name val="Times New Roman"/>
      <family val="1"/>
    </font>
    <font>
      <sz val="10"/>
      <color indexed="17"/>
      <name val="Times New Roman"/>
      <family val="1"/>
    </font>
    <font>
      <sz val="10"/>
      <color indexed="54"/>
      <name val="Times New Roman"/>
      <family val="1"/>
    </font>
    <font>
      <sz val="10"/>
      <color indexed="50"/>
      <name val="Times New Roman"/>
      <family val="1"/>
    </font>
    <font>
      <sz val="10"/>
      <color indexed="45"/>
      <name val="Times New Roman"/>
      <family val="1"/>
    </font>
    <font>
      <sz val="10"/>
      <color indexed="61"/>
      <name val="Times New Roman"/>
      <family val="1"/>
    </font>
    <font>
      <sz val="10"/>
      <color indexed="60"/>
      <name val="Times New Roman"/>
      <family val="1"/>
    </font>
    <font>
      <b/>
      <sz val="11"/>
      <color indexed="14"/>
      <name val="Times New Roman"/>
      <family val="1"/>
    </font>
    <font>
      <b/>
      <u/>
      <sz val="11"/>
      <color indexed="14"/>
      <name val="Times New Roman"/>
      <family val="1"/>
    </font>
    <font>
      <b/>
      <sz val="11"/>
      <color indexed="53"/>
      <name val="Times New Roman"/>
      <family val="1"/>
    </font>
    <font>
      <b/>
      <u/>
      <sz val="11"/>
      <color indexed="53"/>
      <name val="Times New Roman"/>
      <family val="1"/>
    </font>
    <font>
      <b/>
      <u/>
      <sz val="11"/>
      <color indexed="17"/>
      <name val="Times New Roman"/>
      <family val="1"/>
    </font>
    <font>
      <sz val="10"/>
      <color indexed="14"/>
      <name val="Times New Roman"/>
      <family val="1"/>
    </font>
    <font>
      <sz val="9"/>
      <color indexed="17"/>
      <name val="Times New Roman"/>
      <family val="1"/>
    </font>
    <font>
      <b/>
      <sz val="10"/>
      <color indexed="14"/>
      <name val="Times New Roman"/>
      <family val="1"/>
    </font>
    <font>
      <b/>
      <sz val="10"/>
      <color indexed="57"/>
      <name val="Times New Roman"/>
      <family val="1"/>
    </font>
    <font>
      <u/>
      <sz val="11"/>
      <color indexed="14"/>
      <name val="Times New Roman"/>
      <family val="1"/>
    </font>
    <font>
      <u/>
      <sz val="11"/>
      <color indexed="17"/>
      <name val="Times New Roman"/>
      <family val="1"/>
    </font>
    <font>
      <sz val="9"/>
      <color indexed="50"/>
      <name val="Times New Roman"/>
      <family val="1"/>
    </font>
    <font>
      <sz val="10"/>
      <name val="Arial"/>
      <family val="2"/>
    </font>
    <font>
      <u/>
      <sz val="8"/>
      <color indexed="12"/>
      <name val="Times New Roman"/>
      <family val="1"/>
    </font>
    <font>
      <sz val="10"/>
      <color indexed="52"/>
      <name val="Times New Roman"/>
      <family val="1"/>
    </font>
    <font>
      <sz val="10.5"/>
      <color indexed="10"/>
      <name val="Times New Roman"/>
      <family val="1"/>
    </font>
    <font>
      <sz val="10"/>
      <color indexed="12"/>
      <name val="Times New Roman"/>
      <family val="1"/>
    </font>
    <font>
      <sz val="9"/>
      <color indexed="23"/>
      <name val="Times New Roman"/>
      <family val="1"/>
    </font>
    <font>
      <b/>
      <u/>
      <sz val="9"/>
      <color indexed="55"/>
      <name val="Times New Roman"/>
      <family val="1"/>
    </font>
    <font>
      <b/>
      <u/>
      <sz val="10.5"/>
      <color indexed="55"/>
      <name val="Times New Roman"/>
      <family val="1"/>
    </font>
    <font>
      <sz val="11"/>
      <name val="Arial"/>
      <family val="2"/>
    </font>
    <font>
      <b/>
      <sz val="10"/>
      <color indexed="17"/>
      <name val="Times New Roman"/>
      <family val="1"/>
    </font>
    <font>
      <sz val="7.5"/>
      <name val="Times New Roman"/>
      <family val="1"/>
    </font>
    <font>
      <b/>
      <sz val="7"/>
      <color indexed="10"/>
      <name val="Times New Roman"/>
      <family val="1"/>
    </font>
    <font>
      <sz val="10"/>
      <color indexed="8"/>
      <name val="Times New Roman"/>
      <family val="1"/>
    </font>
    <font>
      <sz val="10.5"/>
      <color indexed="9"/>
      <name val="Times New Roman"/>
      <family val="1"/>
    </font>
    <font>
      <sz val="11"/>
      <color indexed="8"/>
      <name val="Times New Roman"/>
      <family val="1"/>
    </font>
    <font>
      <sz val="9"/>
      <color indexed="8"/>
      <name val="Times New Roman"/>
      <family val="1"/>
    </font>
    <font>
      <sz val="11"/>
      <name val="Times New Roman"/>
      <family val="1"/>
    </font>
    <font>
      <sz val="10"/>
      <name val="Times New Roman"/>
      <family val="1"/>
    </font>
    <font>
      <u/>
      <sz val="11"/>
      <color indexed="12"/>
      <name val="Times New Roman"/>
      <family val="1"/>
    </font>
    <font>
      <sz val="8"/>
      <name val="Times New Roman"/>
      <family val="1"/>
    </font>
    <font>
      <sz val="8"/>
      <color indexed="22"/>
      <name val="Times New Roman"/>
      <family val="1"/>
    </font>
    <font>
      <b/>
      <u/>
      <sz val="14"/>
      <name val="Times New Roman"/>
      <family val="1"/>
    </font>
    <font>
      <sz val="10.5"/>
      <name val="Times New Roman"/>
      <family val="1"/>
    </font>
    <font>
      <u/>
      <sz val="9"/>
      <color indexed="12"/>
      <name val="Times New Roman"/>
      <family val="1"/>
    </font>
    <font>
      <sz val="8"/>
      <color indexed="23"/>
      <name val="Times New Roman"/>
      <family val="1"/>
    </font>
    <font>
      <u/>
      <sz val="8"/>
      <color indexed="12"/>
      <name val="Times New Roman"/>
      <family val="1"/>
    </font>
    <font>
      <sz val="10.5"/>
      <color indexed="8"/>
      <name val="Times New Roman"/>
      <family val="1"/>
    </font>
    <font>
      <sz val="8"/>
      <color indexed="8"/>
      <name val="Times New Roman"/>
      <family val="1"/>
    </font>
    <font>
      <sz val="10"/>
      <color indexed="18"/>
      <name val="Times New Roman"/>
      <family val="1"/>
    </font>
    <font>
      <sz val="9"/>
      <color indexed="10"/>
      <name val="Times New Roman"/>
      <family val="1"/>
    </font>
    <font>
      <sz val="8"/>
      <color indexed="14"/>
      <name val="Times New Roman"/>
      <family val="1"/>
    </font>
    <font>
      <b/>
      <sz val="10"/>
      <color indexed="10"/>
      <name val="Arial"/>
      <family val="2"/>
    </font>
    <font>
      <b/>
      <sz val="11"/>
      <color indexed="8"/>
      <name val="Times New Roman"/>
      <family val="1"/>
    </font>
    <font>
      <u/>
      <sz val="9"/>
      <color indexed="12"/>
      <name val="Times New Roman"/>
      <family val="1"/>
    </font>
    <font>
      <sz val="9.5"/>
      <color indexed="8"/>
      <name val="Times New Roman"/>
      <family val="1"/>
    </font>
    <font>
      <sz val="7"/>
      <color indexed="8"/>
      <name val="Times New Roman"/>
      <family val="1"/>
    </font>
    <font>
      <b/>
      <sz val="9"/>
      <color indexed="8"/>
      <name val="Times New Roman"/>
      <family val="1"/>
    </font>
    <font>
      <sz val="8"/>
      <color indexed="55"/>
      <name val="Times New Roman"/>
      <family val="1"/>
    </font>
    <font>
      <b/>
      <u/>
      <sz val="16"/>
      <color indexed="8"/>
      <name val="Times New Roman"/>
      <family val="1"/>
    </font>
    <font>
      <b/>
      <u/>
      <sz val="11.5"/>
      <color indexed="8"/>
      <name val="Times New Roman"/>
      <family val="1"/>
    </font>
    <font>
      <b/>
      <u/>
      <sz val="12"/>
      <color indexed="8"/>
      <name val="Times New Roman"/>
      <family val="1"/>
    </font>
    <font>
      <b/>
      <u/>
      <sz val="7"/>
      <color indexed="8"/>
      <name val="Times New Roman"/>
      <family val="1"/>
    </font>
    <font>
      <sz val="4"/>
      <color indexed="8"/>
      <name val="Times New Roman"/>
      <family val="1"/>
    </font>
    <font>
      <b/>
      <u/>
      <sz val="11"/>
      <color indexed="8"/>
      <name val="Times New Roman"/>
      <family val="1"/>
    </font>
    <font>
      <b/>
      <u/>
      <sz val="10"/>
      <color indexed="12"/>
      <name val="Times New Roman"/>
      <family val="1"/>
    </font>
    <font>
      <sz val="14"/>
      <color indexed="8"/>
      <name val="Times New Roman"/>
      <family val="1"/>
    </font>
    <font>
      <b/>
      <u/>
      <sz val="11.5"/>
      <color indexed="10"/>
      <name val="Times New Roman"/>
      <family val="1"/>
    </font>
    <font>
      <b/>
      <sz val="12"/>
      <color indexed="8"/>
      <name val="Times New Roman"/>
      <family val="1"/>
    </font>
    <font>
      <u/>
      <sz val="10"/>
      <color indexed="8"/>
      <name val="Times New Roman"/>
      <family val="1"/>
    </font>
    <font>
      <sz val="11"/>
      <color indexed="22"/>
      <name val="Times New Roman"/>
      <family val="1"/>
    </font>
    <font>
      <sz val="10"/>
      <color indexed="8"/>
      <name val="Calibri"/>
      <family val="2"/>
    </font>
    <font>
      <sz val="8"/>
      <color indexed="23"/>
      <name val="Times New Roman"/>
      <family val="1"/>
    </font>
    <font>
      <u/>
      <sz val="12"/>
      <color indexed="8"/>
      <name val="Times New Roman"/>
      <family val="1"/>
    </font>
    <font>
      <u/>
      <sz val="14"/>
      <color indexed="12"/>
      <name val="Times New Roman"/>
      <family val="1"/>
    </font>
    <font>
      <sz val="10"/>
      <color theme="0"/>
      <name val="Times New Roman"/>
      <family val="1"/>
    </font>
    <font>
      <sz val="10"/>
      <color theme="0" tint="-0.14999847407452621"/>
      <name val="Times New Roman"/>
      <family val="1"/>
    </font>
    <font>
      <sz val="11"/>
      <color rgb="FFFF0000"/>
      <name val="Times New Roman"/>
      <family val="1"/>
    </font>
    <font>
      <sz val="10"/>
      <color rgb="FFFF0000"/>
      <name val="Times New Roman"/>
      <family val="1"/>
    </font>
    <font>
      <sz val="10.5"/>
      <color rgb="FFFF0000"/>
      <name val="Times New Roman"/>
      <family val="1"/>
    </font>
    <font>
      <u/>
      <sz val="10"/>
      <color rgb="FF000000"/>
      <name val="Times New Roman"/>
      <family val="1"/>
    </font>
    <font>
      <b/>
      <sz val="10"/>
      <color indexed="60"/>
      <name val="Times New Roman"/>
      <family val="1"/>
    </font>
    <font>
      <sz val="11"/>
      <color theme="9" tint="-0.249977111117893"/>
      <name val="Times New Roman"/>
      <family val="1"/>
    </font>
    <font>
      <sz val="8"/>
      <color theme="0" tint="-0.249977111117893"/>
      <name val="Times New Roman"/>
      <family val="1"/>
    </font>
    <font>
      <b/>
      <u/>
      <sz val="14"/>
      <color indexed="8"/>
      <name val="Times New Roman"/>
      <family val="1"/>
    </font>
    <font>
      <b/>
      <u/>
      <sz val="20"/>
      <color indexed="8"/>
      <name val="Times New Roman"/>
      <family val="1"/>
    </font>
    <font>
      <sz val="7.5"/>
      <color indexed="8"/>
      <name val="Times New Roman"/>
      <family val="1"/>
    </font>
    <font>
      <sz val="8"/>
      <color theme="0" tint="-0.34998626667073579"/>
      <name val="Times New Roman"/>
      <family val="1"/>
    </font>
    <font>
      <b/>
      <sz val="14"/>
      <color indexed="8"/>
      <name val="Times New Roman"/>
      <family val="1"/>
    </font>
    <font>
      <b/>
      <sz val="6"/>
      <color indexed="8"/>
      <name val="Times New Roman"/>
      <family val="1"/>
    </font>
    <font>
      <b/>
      <i/>
      <sz val="10"/>
      <color indexed="10"/>
      <name val="Times New Roman"/>
      <family val="1"/>
    </font>
    <font>
      <sz val="10"/>
      <color theme="0" tint="-0.499984740745262"/>
      <name val="Times New Roman"/>
      <family val="1"/>
    </font>
    <font>
      <u/>
      <sz val="10"/>
      <color indexed="14"/>
      <name val="Times New Roman"/>
      <family val="1"/>
    </font>
    <font>
      <u/>
      <sz val="10"/>
      <color indexed="53"/>
      <name val="Times New Roman"/>
      <family val="1"/>
    </font>
    <font>
      <sz val="10"/>
      <color indexed="8"/>
      <name val="Arial"/>
      <family val="2"/>
    </font>
    <font>
      <sz val="6"/>
      <color indexed="8"/>
      <name val="Times New Roman"/>
      <family val="1"/>
    </font>
    <font>
      <sz val="10"/>
      <color indexed="22"/>
      <name val="Times New Roman"/>
      <family val="1"/>
    </font>
    <font>
      <b/>
      <sz val="8"/>
      <color indexed="8"/>
      <name val="Times New Roman"/>
      <family val="1"/>
    </font>
    <font>
      <sz val="12"/>
      <color indexed="8"/>
      <name val="Times New Roman"/>
      <family val="1"/>
    </font>
    <font>
      <b/>
      <sz val="10"/>
      <color rgb="FFFF0000"/>
      <name val="Times New Roman"/>
      <family val="1"/>
    </font>
    <font>
      <i/>
      <sz val="10"/>
      <color theme="0" tint="-0.499984740745262"/>
      <name val="Times New Roman"/>
      <family val="1"/>
    </font>
    <font>
      <b/>
      <i/>
      <sz val="14"/>
      <color indexed="10"/>
      <name val="Times New Roman"/>
      <family val="1"/>
    </font>
    <font>
      <sz val="8"/>
      <color theme="0" tint="-0.499984740745262"/>
      <name val="Times New Roman"/>
      <family val="1"/>
    </font>
    <font>
      <sz val="8"/>
      <color rgb="FFFF0000"/>
      <name val="Times New Roman"/>
      <family val="1"/>
    </font>
    <font>
      <sz val="11"/>
      <color theme="0"/>
      <name val="Times New Roman"/>
      <family val="1"/>
    </font>
    <font>
      <u/>
      <sz val="10"/>
      <color indexed="10"/>
      <name val="Times New Roman"/>
      <family val="1"/>
    </font>
    <font>
      <u/>
      <sz val="10"/>
      <name val="Times New Roman"/>
      <family val="1"/>
    </font>
    <font>
      <b/>
      <u/>
      <sz val="10"/>
      <color indexed="14"/>
      <name val="Times New Roman"/>
      <family val="1"/>
    </font>
    <font>
      <b/>
      <u/>
      <sz val="12"/>
      <color indexed="20"/>
      <name val="Times New Roman"/>
      <family val="1"/>
    </font>
    <font>
      <b/>
      <u/>
      <sz val="22"/>
      <color indexed="8"/>
      <name val="Times New Roman"/>
      <family val="1"/>
    </font>
    <font>
      <b/>
      <u/>
      <sz val="24"/>
      <color indexed="8"/>
      <name val="Times New Roman"/>
      <family val="1"/>
    </font>
    <font>
      <b/>
      <sz val="11"/>
      <color theme="1"/>
      <name val="Times New Roman"/>
      <family val="1"/>
    </font>
    <font>
      <b/>
      <sz val="12"/>
      <color theme="1"/>
      <name val="Times New Roman"/>
      <family val="1"/>
    </font>
    <font>
      <b/>
      <u/>
      <sz val="18"/>
      <color indexed="8"/>
      <name val="Times New Roman"/>
      <family val="1"/>
    </font>
    <font>
      <b/>
      <u/>
      <sz val="18"/>
      <name val="Times New Roman"/>
      <family val="1"/>
    </font>
    <font>
      <b/>
      <sz val="18"/>
      <color indexed="8"/>
      <name val="Times New Roman"/>
      <family val="1"/>
    </font>
    <font>
      <b/>
      <sz val="11"/>
      <color rgb="FFFF0000"/>
      <name val="Times New Roman"/>
      <family val="1"/>
    </font>
    <font>
      <sz val="11"/>
      <color theme="1"/>
      <name val="Calibri"/>
      <family val="2"/>
      <scheme val="minor"/>
    </font>
    <font>
      <sz val="11"/>
      <name val="Calibri"/>
      <family val="2"/>
    </font>
    <font>
      <b/>
      <u/>
      <sz val="16"/>
      <name val="Arial"/>
      <family val="2"/>
    </font>
    <font>
      <sz val="8"/>
      <color rgb="FF969696"/>
      <name val="Arial"/>
      <family val="2"/>
    </font>
    <font>
      <b/>
      <u/>
      <sz val="10"/>
      <name val="Arial"/>
      <family val="2"/>
    </font>
    <font>
      <vertAlign val="subscript"/>
      <sz val="10"/>
      <name val="Arial"/>
      <family val="2"/>
    </font>
    <font>
      <sz val="6"/>
      <name val="Arial"/>
      <family val="2"/>
    </font>
    <font>
      <u/>
      <sz val="11"/>
      <color theme="10"/>
      <name val="Calibri"/>
      <family val="2"/>
      <scheme val="minor"/>
    </font>
    <font>
      <u/>
      <sz val="10"/>
      <color rgb="FF0000FF"/>
      <name val="Times New Roman"/>
      <family val="1"/>
    </font>
    <font>
      <sz val="10"/>
      <color rgb="FF808080"/>
      <name val="Arial"/>
      <family val="2"/>
    </font>
    <font>
      <sz val="10"/>
      <color rgb="FF000000"/>
      <name val="Arial"/>
      <family val="2"/>
    </font>
    <font>
      <b/>
      <sz val="11"/>
      <color rgb="FFFF9900"/>
      <name val="Calibri"/>
      <family val="2"/>
    </font>
    <font>
      <b/>
      <sz val="15"/>
      <color rgb="FF003366"/>
      <name val="Calibri"/>
      <family val="2"/>
    </font>
    <font>
      <b/>
      <sz val="13"/>
      <color rgb="FF003366"/>
      <name val="Calibri"/>
      <family val="2"/>
    </font>
    <font>
      <u/>
      <sz val="11"/>
      <color rgb="FF0000FF"/>
      <name val="Times New Roman"/>
      <family val="1"/>
    </font>
    <font>
      <sz val="11"/>
      <color rgb="FF333399"/>
      <name val="Calibri"/>
      <family val="2"/>
    </font>
    <font>
      <b/>
      <sz val="11"/>
      <color rgb="FF333333"/>
      <name val="Calibri"/>
      <family val="2"/>
    </font>
    <font>
      <b/>
      <sz val="11"/>
      <name val="Calibri"/>
      <family val="2"/>
    </font>
    <font>
      <sz val="10"/>
      <color rgb="FF7F7F7F"/>
      <name val="Times New Roman"/>
      <family val="1"/>
    </font>
    <font>
      <sz val="12"/>
      <color rgb="FF7F7F7F"/>
      <name val="Times New Roman"/>
      <family val="1"/>
    </font>
    <font>
      <b/>
      <u/>
      <sz val="11.5"/>
      <name val="Times New Roman"/>
      <family val="1"/>
    </font>
    <font>
      <b/>
      <u/>
      <sz val="11"/>
      <color theme="0" tint="-0.499984740745262"/>
      <name val="Times New Roman"/>
      <family val="1"/>
    </font>
    <font>
      <b/>
      <i/>
      <sz val="12"/>
      <color indexed="10"/>
      <name val="Times New Roman"/>
      <family val="1"/>
    </font>
    <font>
      <b/>
      <i/>
      <sz val="13"/>
      <color indexed="10"/>
      <name val="Times New Roman"/>
      <family val="1"/>
    </font>
    <font>
      <sz val="10"/>
      <color theme="9"/>
      <name val="Times New Roman"/>
      <family val="1"/>
    </font>
    <font>
      <b/>
      <sz val="10"/>
      <color theme="9"/>
      <name val="Times New Roman"/>
      <family val="1"/>
    </font>
    <font>
      <sz val="10"/>
      <color rgb="FF00B050"/>
      <name val="Times New Roman"/>
      <family val="1"/>
    </font>
    <font>
      <u/>
      <sz val="10"/>
      <color rgb="FF00B050"/>
      <name val="Times New Roman"/>
      <family val="1"/>
    </font>
    <font>
      <sz val="11"/>
      <color rgb="FF00B050"/>
      <name val="Times New Roman"/>
      <family val="1"/>
    </font>
    <font>
      <b/>
      <sz val="10"/>
      <color rgb="FF00B050"/>
      <name val="Times New Roman"/>
      <family val="1"/>
    </font>
    <font>
      <b/>
      <sz val="10"/>
      <color rgb="FFCC66FF"/>
      <name val="Times New Roman"/>
      <family val="1"/>
    </font>
    <font>
      <sz val="9"/>
      <color indexed="20"/>
      <name val="Times New Roman"/>
      <family val="1"/>
    </font>
    <font>
      <b/>
      <u/>
      <sz val="9"/>
      <color indexed="8"/>
      <name val="Times New Roman"/>
      <family val="1"/>
    </font>
    <font>
      <sz val="8"/>
      <color theme="7"/>
      <name val="Times New Roman"/>
      <family val="1"/>
    </font>
    <font>
      <sz val="14"/>
      <color rgb="FFFF0000"/>
      <name val="Times New Roman"/>
      <family val="1"/>
    </font>
    <font>
      <sz val="10"/>
      <color rgb="FFFF00FF"/>
      <name val="Times New Roman"/>
      <family val="1"/>
    </font>
    <font>
      <b/>
      <sz val="12"/>
      <color rgb="FFFF00FF"/>
      <name val="Times New Roman"/>
      <family val="1"/>
    </font>
    <font>
      <b/>
      <sz val="10"/>
      <color rgb="FFFF00FF"/>
      <name val="Times New Roman"/>
      <family val="1"/>
    </font>
    <font>
      <b/>
      <sz val="10"/>
      <color rgb="FF993300"/>
      <name val="Times New Roman"/>
      <family val="1"/>
    </font>
    <font>
      <sz val="10"/>
      <color rgb="FF993300"/>
      <name val="Times New Roman"/>
      <family val="1"/>
    </font>
    <font>
      <sz val="10"/>
      <color rgb="FF800080"/>
      <name val="Times New Roman"/>
      <family val="1"/>
    </font>
    <font>
      <sz val="11"/>
      <color rgb="FFFF00FF"/>
      <name val="Times New Roman"/>
      <family val="1"/>
    </font>
    <font>
      <sz val="10"/>
      <color theme="1"/>
      <name val="Times New Roman"/>
      <family val="1"/>
    </font>
    <font>
      <b/>
      <sz val="9"/>
      <color rgb="FF7030A0"/>
      <name val="Times New Roman"/>
      <family val="1"/>
    </font>
    <font>
      <sz val="9"/>
      <color rgb="FF7030A0"/>
      <name val="Times New Roman"/>
      <family val="1"/>
    </font>
    <font>
      <sz val="10"/>
      <color rgb="FFCCFFFF"/>
      <name val="Times New Roman"/>
      <family val="1"/>
    </font>
    <font>
      <sz val="8"/>
      <color rgb="FF969696"/>
      <name val="Times New Roman"/>
      <family val="1"/>
    </font>
    <font>
      <sz val="10"/>
      <color rgb="FF339966"/>
      <name val="Times New Roman"/>
      <family val="1"/>
    </font>
    <font>
      <sz val="10"/>
      <color rgb="FF99CC00"/>
      <name val="Times New Roman"/>
      <family val="1"/>
    </font>
    <font>
      <sz val="10"/>
      <color rgb="FFFF99CC"/>
      <name val="Times New Roman"/>
      <family val="1"/>
    </font>
    <font>
      <sz val="9"/>
      <color rgb="FFFF0000"/>
      <name val="Times New Roman"/>
      <family val="1"/>
    </font>
    <font>
      <sz val="10"/>
      <color rgb="FFFF6600"/>
      <name val="Times New Roman"/>
      <family val="1"/>
    </font>
    <font>
      <sz val="10"/>
      <color rgb="FF008000"/>
      <name val="Times New Roman"/>
      <family val="1"/>
    </font>
    <font>
      <b/>
      <u/>
      <sz val="11"/>
      <name val="Times New Roman"/>
      <family val="1"/>
    </font>
    <font>
      <b/>
      <sz val="10"/>
      <color theme="0" tint="-0.499984740745262"/>
      <name val="Times New Roman"/>
      <family val="1"/>
    </font>
    <font>
      <b/>
      <u/>
      <sz val="10"/>
      <color rgb="FFFF00FF"/>
      <name val="Times New Roman"/>
      <family val="1"/>
    </font>
    <font>
      <sz val="10"/>
      <color theme="0" tint="-4.9989318521683403E-2"/>
      <name val="Times New Roman"/>
      <family val="1"/>
    </font>
    <font>
      <sz val="10"/>
      <color rgb="FFCC66FF"/>
      <name val="Times New Roman"/>
      <family val="1"/>
    </font>
    <font>
      <b/>
      <sz val="9"/>
      <color rgb="FFCC66FF"/>
      <name val="Times New Roman"/>
      <family val="1"/>
    </font>
    <font>
      <b/>
      <sz val="9"/>
      <color rgb="FFFF00FF"/>
      <name val="Times New Roman"/>
      <family val="1"/>
    </font>
    <font>
      <sz val="11"/>
      <color rgb="FFCC66FF"/>
      <name val="Times New Roman"/>
      <family val="1"/>
    </font>
    <font>
      <sz val="10"/>
      <color rgb="FFC00000"/>
      <name val="Times New Roman"/>
      <family val="1"/>
    </font>
    <font>
      <b/>
      <sz val="9"/>
      <color rgb="FFC00000"/>
      <name val="Times New Roman"/>
      <family val="1"/>
    </font>
    <font>
      <sz val="10"/>
      <color rgb="FF000000"/>
      <name val="Times New Roman"/>
      <family val="1"/>
    </font>
    <font>
      <sz val="11"/>
      <color rgb="FF000000"/>
      <name val="Times New Roman"/>
      <family val="1"/>
    </font>
    <font>
      <sz val="11"/>
      <color indexed="60"/>
      <name val="Times New Roman"/>
      <family val="1"/>
    </font>
    <font>
      <sz val="11"/>
      <color rgb="FF993300"/>
      <name val="Times New Roman"/>
      <family val="1"/>
    </font>
    <font>
      <sz val="8"/>
      <color rgb="FFCC66FF"/>
      <name val="Times New Roman"/>
      <family val="1"/>
    </font>
    <font>
      <b/>
      <sz val="8"/>
      <color rgb="FFCC66FF"/>
      <name val="Times New Roman"/>
      <family val="1"/>
    </font>
    <font>
      <sz val="8"/>
      <color rgb="FFC00000"/>
      <name val="Times New Roman"/>
      <family val="1"/>
    </font>
    <font>
      <b/>
      <sz val="8"/>
      <color rgb="FFC00000"/>
      <name val="Times New Roman"/>
      <family val="1"/>
    </font>
    <font>
      <sz val="8"/>
      <color rgb="FFFF00FF"/>
      <name val="Times New Roman"/>
      <family val="1"/>
    </font>
    <font>
      <b/>
      <sz val="8"/>
      <color rgb="FFFF00FF"/>
      <name val="Times New Roman"/>
      <family val="1"/>
    </font>
    <font>
      <b/>
      <sz val="8"/>
      <color rgb="FFFF0000"/>
      <name val="Times New Roman"/>
      <family val="1"/>
    </font>
    <font>
      <b/>
      <u/>
      <sz val="8"/>
      <color rgb="FFFF0000"/>
      <name val="Times New Roman"/>
      <family val="1"/>
    </font>
    <font>
      <b/>
      <i/>
      <u/>
      <sz val="10"/>
      <name val="Times New Roman"/>
      <family val="1"/>
    </font>
    <font>
      <b/>
      <u/>
      <sz val="10"/>
      <color rgb="FFC00000"/>
      <name val="Times New Roman"/>
      <family val="1"/>
    </font>
    <font>
      <b/>
      <u/>
      <sz val="10"/>
      <color rgb="FFCC66FF"/>
      <name val="Times New Roman"/>
      <family val="1"/>
    </font>
    <font>
      <b/>
      <sz val="9"/>
      <color indexed="20"/>
      <name val="Times New Roman"/>
      <family val="1"/>
    </font>
    <font>
      <b/>
      <u/>
      <sz val="10"/>
      <color rgb="FF000000"/>
      <name val="Times New Roman"/>
      <family val="1"/>
    </font>
    <font>
      <sz val="11"/>
      <color theme="0" tint="-0.499984740745262"/>
      <name val="Times New Roman"/>
      <family val="1"/>
    </font>
    <font>
      <b/>
      <u/>
      <sz val="11"/>
      <color rgb="FF000000"/>
      <name val="Times New Roman"/>
      <family val="1"/>
    </font>
    <font>
      <sz val="7"/>
      <color theme="0" tint="-0.249977111117893"/>
      <name val="Times New Roman"/>
      <family val="1"/>
    </font>
    <font>
      <sz val="11"/>
      <color rgb="FF969696"/>
      <name val="Times New Roman"/>
      <family val="1"/>
    </font>
    <font>
      <b/>
      <u/>
      <sz val="16"/>
      <name val="Times New Roman"/>
      <family val="1"/>
    </font>
    <font>
      <sz val="10"/>
      <color rgb="FF969696"/>
      <name val="Times New Roman"/>
      <family val="1"/>
    </font>
    <font>
      <sz val="9"/>
      <color rgb="FF969696"/>
      <name val="Times New Roman"/>
      <family val="1"/>
    </font>
    <font>
      <b/>
      <u/>
      <sz val="16"/>
      <color rgb="FF969696"/>
      <name val="Times New Roman"/>
      <family val="1"/>
    </font>
    <font>
      <sz val="10"/>
      <color rgb="FFFFFF99"/>
      <name val="Times New Roman"/>
      <family val="1"/>
    </font>
    <font>
      <sz val="10"/>
      <color rgb="FFCCFFCC"/>
      <name val="Times New Roman"/>
      <family val="1"/>
    </font>
    <font>
      <sz val="10"/>
      <color theme="7"/>
      <name val="Times New Roman"/>
      <family val="1"/>
    </font>
    <font>
      <sz val="10"/>
      <color theme="7"/>
      <name val="Calibri"/>
      <family val="2"/>
    </font>
    <font>
      <u/>
      <sz val="11"/>
      <color theme="7"/>
      <name val="Times New Roman"/>
      <family val="1"/>
    </font>
    <font>
      <b/>
      <sz val="10"/>
      <color indexed="12"/>
      <name val="Times New Roman"/>
      <family val="1"/>
    </font>
    <font>
      <sz val="7"/>
      <color rgb="FF969696"/>
      <name val="Times New Roman"/>
      <family val="1"/>
    </font>
    <font>
      <sz val="12"/>
      <color rgb="FFFF0000"/>
      <name val="Times New Roman"/>
      <family val="1"/>
    </font>
    <font>
      <b/>
      <sz val="11"/>
      <color rgb="FFFF00FF"/>
      <name val="Times New Roman"/>
      <family val="1"/>
    </font>
    <font>
      <b/>
      <sz val="10"/>
      <color theme="1"/>
      <name val="Times New Roman"/>
      <family val="1"/>
    </font>
    <font>
      <sz val="11"/>
      <color theme="1"/>
      <name val="Times New Roman"/>
      <family val="1"/>
    </font>
    <font>
      <b/>
      <u/>
      <sz val="11"/>
      <color rgb="FFFF0000"/>
      <name val="Times New Roman"/>
      <family val="1"/>
    </font>
    <font>
      <b/>
      <sz val="20"/>
      <color indexed="8"/>
      <name val="Times New Roman"/>
      <family val="1"/>
    </font>
    <font>
      <b/>
      <sz val="7"/>
      <color indexed="8"/>
      <name val="Times New Roman"/>
      <family val="1"/>
    </font>
    <font>
      <sz val="12"/>
      <color theme="0" tint="-0.499984740745262"/>
      <name val="Times New Roman"/>
      <family val="1"/>
    </font>
    <font>
      <sz val="11"/>
      <color indexed="8"/>
      <name val="Book Antiqua"/>
      <family val="1"/>
    </font>
    <font>
      <vertAlign val="subscript"/>
      <sz val="12"/>
      <color indexed="8"/>
      <name val="Times New Roman"/>
      <family val="1"/>
    </font>
    <font>
      <b/>
      <sz val="18"/>
      <color indexed="56"/>
      <name val="Cambria"/>
      <family val="1"/>
    </font>
    <font>
      <sz val="12"/>
      <color theme="1"/>
      <name val="Times New Roman"/>
      <family val="1"/>
    </font>
    <font>
      <b/>
      <sz val="11"/>
      <color rgb="FFC45D08"/>
      <name val="Times New Roman"/>
      <family val="1"/>
    </font>
    <font>
      <sz val="11"/>
      <color rgb="FFC45D08"/>
      <name val="Times New Roman"/>
      <family val="1"/>
    </font>
    <font>
      <sz val="11.5"/>
      <color rgb="FFFF0000"/>
      <name val="Times New Roman"/>
      <family val="1"/>
    </font>
    <font>
      <sz val="10"/>
      <color rgb="FFC45D08"/>
      <name val="Times New Roman"/>
      <family val="1"/>
    </font>
    <font>
      <sz val="11"/>
      <color rgb="FFFF9900"/>
      <name val="Times New Roman"/>
      <family val="1"/>
    </font>
    <font>
      <sz val="10"/>
      <color rgb="FFFF9900"/>
      <name val="Times New Roman"/>
      <family val="1"/>
    </font>
    <font>
      <b/>
      <sz val="14"/>
      <color rgb="FFFF0000"/>
      <name val="Times New Roman"/>
      <family val="1"/>
    </font>
    <font>
      <sz val="10"/>
      <color rgb="FF808080"/>
      <name val="Times New Roman"/>
      <family val="1"/>
    </font>
    <font>
      <b/>
      <sz val="13"/>
      <color indexed="8"/>
      <name val="Times New Roman"/>
      <family val="1"/>
    </font>
    <font>
      <b/>
      <sz val="13"/>
      <color theme="0"/>
      <name val="Times New Roman"/>
      <family val="1"/>
    </font>
    <font>
      <b/>
      <u/>
      <sz val="13"/>
      <color theme="0"/>
      <name val="Times New Roman"/>
      <family val="1"/>
    </font>
  </fonts>
  <fills count="93">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57"/>
        <bgColor indexed="64"/>
      </patternFill>
    </fill>
    <fill>
      <patternFill patternType="solid">
        <fgColor indexed="22"/>
        <bgColor indexed="64"/>
      </patternFill>
    </fill>
    <fill>
      <patternFill patternType="solid">
        <fgColor indexed="41"/>
        <bgColor indexed="64"/>
      </patternFill>
    </fill>
    <fill>
      <patternFill patternType="solid">
        <fgColor indexed="65"/>
        <bgColor indexed="26"/>
      </patternFill>
    </fill>
    <fill>
      <patternFill patternType="solid">
        <fgColor indexed="9"/>
        <bgColor indexed="26"/>
      </patternFill>
    </fill>
    <fill>
      <patternFill patternType="solid">
        <fgColor indexed="43"/>
        <bgColor indexed="26"/>
      </patternFill>
    </fill>
    <fill>
      <patternFill patternType="solid">
        <fgColor indexed="65"/>
        <bgColor indexed="64"/>
      </patternFill>
    </fill>
    <fill>
      <patternFill patternType="solid">
        <fgColor indexed="53"/>
        <bgColor indexed="52"/>
      </patternFill>
    </fill>
    <fill>
      <patternFill patternType="solid">
        <fgColor indexed="27"/>
        <bgColor indexed="27"/>
      </patternFill>
    </fill>
    <fill>
      <patternFill patternType="solid">
        <fgColor indexed="11"/>
        <bgColor indexed="49"/>
      </patternFill>
    </fill>
    <fill>
      <patternFill patternType="solid">
        <fgColor indexed="51"/>
        <bgColor indexed="13"/>
      </patternFill>
    </fill>
    <fill>
      <patternFill patternType="solid">
        <fgColor indexed="10"/>
        <bgColor indexed="60"/>
      </patternFill>
    </fill>
    <fill>
      <patternFill patternType="solid">
        <fgColor theme="0"/>
        <bgColor indexed="64"/>
      </patternFill>
    </fill>
    <fill>
      <patternFill patternType="solid">
        <fgColor theme="0" tint="-0.14999847407452621"/>
        <bgColor indexed="64"/>
      </patternFill>
    </fill>
    <fill>
      <patternFill patternType="solid">
        <fgColor theme="0"/>
        <bgColor indexed="26"/>
      </patternFill>
    </fill>
    <fill>
      <patternFill patternType="solid">
        <fgColor theme="0"/>
        <bgColor rgb="FFFFFFFF"/>
      </patternFill>
    </fill>
    <fill>
      <patternFill patternType="solid">
        <fgColor rgb="FFFFFF99"/>
        <bgColor rgb="FFFFFFFF"/>
      </patternFill>
    </fill>
    <fill>
      <patternFill patternType="solid">
        <fgColor rgb="FFFFFFFF"/>
        <bgColor rgb="FFFFFFFF"/>
      </patternFill>
    </fill>
    <fill>
      <patternFill patternType="solid">
        <fgColor theme="5"/>
        <bgColor indexed="64"/>
      </patternFill>
    </fill>
    <fill>
      <patternFill patternType="solid">
        <fgColor rgb="FFCCCCFF"/>
        <bgColor rgb="FFFFFFFF"/>
      </patternFill>
    </fill>
    <fill>
      <patternFill patternType="solid">
        <fgColor rgb="FFFF99CC"/>
        <bgColor rgb="FFFFFFFF"/>
      </patternFill>
    </fill>
    <fill>
      <patternFill patternType="solid">
        <fgColor rgb="FFCCFFCC"/>
        <bgColor rgb="FFFFFFFF"/>
      </patternFill>
    </fill>
    <fill>
      <patternFill patternType="solid">
        <fgColor rgb="FFCC99FF"/>
        <bgColor rgb="FFFFFFFF"/>
      </patternFill>
    </fill>
    <fill>
      <patternFill patternType="solid">
        <fgColor rgb="FFCCFFFF"/>
        <bgColor rgb="FFFFFFFF"/>
      </patternFill>
    </fill>
    <fill>
      <patternFill patternType="solid">
        <fgColor rgb="FFFFCC99"/>
        <bgColor rgb="FFFFFFFF"/>
      </patternFill>
    </fill>
    <fill>
      <patternFill patternType="solid">
        <fgColor rgb="FF99CCFF"/>
        <bgColor rgb="FFFFFFFF"/>
      </patternFill>
    </fill>
    <fill>
      <patternFill patternType="solid">
        <fgColor rgb="FFFF8080"/>
        <bgColor rgb="FFFFFFFF"/>
      </patternFill>
    </fill>
    <fill>
      <patternFill patternType="solid">
        <fgColor rgb="FF00FF00"/>
        <bgColor rgb="FFFFFFFF"/>
      </patternFill>
    </fill>
    <fill>
      <patternFill patternType="solid">
        <fgColor rgb="FFFFCC00"/>
        <bgColor rgb="FFFFFFFF"/>
      </patternFill>
    </fill>
    <fill>
      <patternFill patternType="solid">
        <fgColor rgb="FFC0C0C0"/>
        <bgColor rgb="FFFFFFFF"/>
      </patternFill>
    </fill>
    <fill>
      <patternFill patternType="solid">
        <fgColor rgb="FFFFFFCC"/>
        <bgColor rgb="FFFFFFFF"/>
      </patternFill>
    </fill>
    <fill>
      <patternFill patternType="solid">
        <fgColor theme="0"/>
        <bgColor indexed="8"/>
      </patternFill>
    </fill>
    <fill>
      <patternFill patternType="solid">
        <fgColor rgb="FFFFFF99"/>
        <bgColor indexed="64"/>
      </patternFill>
    </fill>
    <fill>
      <patternFill patternType="solid">
        <fgColor rgb="FFFFFF00"/>
        <bgColor indexed="64"/>
      </patternFill>
    </fill>
    <fill>
      <patternFill patternType="solid">
        <fgColor rgb="FFCCFFCC"/>
        <bgColor indexed="64"/>
      </patternFill>
    </fill>
    <fill>
      <patternFill patternType="solid">
        <fgColor rgb="FFCCFFFF"/>
        <bgColor indexed="26"/>
      </patternFill>
    </fill>
    <fill>
      <patternFill patternType="solid">
        <fgColor rgb="FFCCFFFF"/>
        <bgColor indexed="64"/>
      </patternFill>
    </fill>
    <fill>
      <patternFill patternType="solid">
        <fgColor rgb="FFFFFF99"/>
        <bgColor indexed="27"/>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99"/>
        <bgColor indexed="26"/>
      </patternFill>
    </fill>
    <fill>
      <patternFill patternType="solid">
        <fgColor theme="0" tint="-4.9989318521683403E-2"/>
        <bgColor indexed="31"/>
      </patternFill>
    </fill>
    <fill>
      <patternFill patternType="solid">
        <fgColor theme="9" tint="0.79998168889431442"/>
        <bgColor indexed="64"/>
      </patternFill>
    </fill>
    <fill>
      <patternFill patternType="solid">
        <fgColor rgb="FFFFFFFF"/>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5"/>
        <bgColor indexed="64"/>
      </patternFill>
    </fill>
    <fill>
      <patternFill patternType="solid">
        <fgColor theme="7" tint="0.79998168889431442"/>
        <bgColor indexed="64"/>
      </patternFill>
    </fill>
    <fill>
      <patternFill patternType="solid">
        <fgColor theme="0"/>
        <bgColor indexed="31"/>
      </patternFill>
    </fill>
  </fills>
  <borders count="2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2"/>
      </left>
      <right style="thin">
        <color indexed="64"/>
      </right>
      <top style="thin">
        <color indexed="64"/>
      </top>
      <bottom style="thin">
        <color indexed="64"/>
      </bottom>
      <diagonal/>
    </border>
    <border>
      <left style="thin">
        <color indexed="64"/>
      </left>
      <right style="thin">
        <color indexed="22"/>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diagonal/>
    </border>
    <border>
      <left/>
      <right style="thin">
        <color indexed="55"/>
      </right>
      <top style="thin">
        <color indexed="64"/>
      </top>
      <bottom/>
      <diagonal/>
    </border>
    <border>
      <left style="thin">
        <color indexed="64"/>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64"/>
      </top>
      <bottom style="thin">
        <color indexed="64"/>
      </bottom>
      <diagonal/>
    </border>
    <border>
      <left style="thin">
        <color indexed="64"/>
      </left>
      <right style="thin">
        <color indexed="55"/>
      </right>
      <top/>
      <bottom/>
      <diagonal/>
    </border>
    <border>
      <left style="thin">
        <color indexed="55"/>
      </left>
      <right style="thin">
        <color indexed="64"/>
      </right>
      <top/>
      <bottom/>
      <diagonal/>
    </border>
    <border>
      <left style="thin">
        <color indexed="64"/>
      </left>
      <right style="thin">
        <color indexed="55"/>
      </right>
      <top/>
      <bottom style="thin">
        <color indexed="64"/>
      </bottom>
      <diagonal/>
    </border>
    <border>
      <left/>
      <right/>
      <top style="thin">
        <color indexed="55"/>
      </top>
      <bottom style="thin">
        <color indexed="55"/>
      </bottom>
      <diagonal/>
    </border>
    <border>
      <left/>
      <right style="thin">
        <color theme="0" tint="-0.34998626667073579"/>
      </right>
      <top/>
      <bottom/>
      <diagonal/>
    </border>
    <border>
      <left/>
      <right style="thin">
        <color theme="0" tint="-0.14996795556505021"/>
      </right>
      <top/>
      <bottom/>
      <diagonal/>
    </border>
    <border>
      <left style="thin">
        <color theme="0" tint="-0.14996795556505021"/>
      </left>
      <right/>
      <top/>
      <bottom/>
      <diagonal/>
    </border>
    <border>
      <left/>
      <right style="thin">
        <color theme="0" tint="-0.24994659260841701"/>
      </right>
      <top/>
      <bottom/>
      <diagonal/>
    </border>
    <border>
      <left style="thin">
        <color theme="0" tint="-0.24994659260841701"/>
      </left>
      <right/>
      <top/>
      <bottom/>
      <diagonal/>
    </border>
    <border>
      <left style="thin">
        <color indexed="64"/>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style="thin">
        <color theme="0" tint="-0.24994659260841701"/>
      </right>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top/>
      <bottom style="thin">
        <color theme="0" tint="-0.34998626667073579"/>
      </bottom>
      <diagonal/>
    </border>
    <border>
      <left/>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indexed="64"/>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style="thin">
        <color indexed="64"/>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theme="0" tint="-0.14996795556505021"/>
      </left>
      <right style="thin">
        <color indexed="64"/>
      </right>
      <top style="thin">
        <color indexed="64"/>
      </top>
      <bottom style="thin">
        <color indexed="64"/>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bottom/>
      <diagonal/>
    </border>
    <border>
      <left/>
      <right style="thin">
        <color indexed="55"/>
      </right>
      <top style="thin">
        <color indexed="55"/>
      </top>
      <bottom/>
      <diagonal/>
    </border>
    <border>
      <left/>
      <right/>
      <top style="thin">
        <color indexed="5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right/>
      <top style="thin">
        <color indexed="64"/>
      </top>
      <bottom style="thin">
        <color indexed="64"/>
      </bottom>
      <diagonal/>
    </border>
    <border>
      <left/>
      <right/>
      <top/>
      <bottom style="thin">
        <color auto="1"/>
      </bottom>
      <diagonal/>
    </border>
    <border>
      <left style="thin">
        <color indexed="64"/>
      </left>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theme="0" tint="-0.14993743705557422"/>
      </left>
      <right style="thin">
        <color auto="1"/>
      </right>
      <top style="thin">
        <color auto="1"/>
      </top>
      <bottom style="thin">
        <color theme="0" tint="-0.14996795556505021"/>
      </bottom>
      <diagonal/>
    </border>
    <border>
      <left style="thin">
        <color auto="1"/>
      </left>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theme="0" tint="-0.14993743705557422"/>
      </left>
      <right style="thin">
        <color auto="1"/>
      </right>
      <top style="thin">
        <color theme="0" tint="-0.14996795556505021"/>
      </top>
      <bottom style="thin">
        <color theme="0" tint="-0.14996795556505021"/>
      </bottom>
      <diagonal/>
    </border>
    <border>
      <left style="thin">
        <color auto="1"/>
      </left>
      <right/>
      <top style="thin">
        <color theme="0" tint="-0.499984740745262"/>
      </top>
      <bottom/>
      <diagonal/>
    </border>
    <border>
      <left/>
      <right/>
      <top style="thin">
        <color theme="0" tint="-0.499984740745262"/>
      </top>
      <bottom/>
      <diagonal/>
    </border>
    <border>
      <left/>
      <right style="thin">
        <color indexed="64"/>
      </right>
      <top style="thin">
        <color theme="0" tint="-0.499984740745262"/>
      </top>
      <bottom/>
      <diagonal/>
    </border>
    <border>
      <left style="thin">
        <color auto="1"/>
      </left>
      <right/>
      <top/>
      <bottom style="thin">
        <color theme="0" tint="-0.499984740745262"/>
      </bottom>
      <diagonal/>
    </border>
    <border>
      <left/>
      <right/>
      <top/>
      <bottom style="thin">
        <color theme="0" tint="-0.499984740745262"/>
      </bottom>
      <diagonal/>
    </border>
    <border>
      <left/>
      <right style="thin">
        <color auto="1"/>
      </right>
      <top/>
      <bottom style="thin">
        <color theme="0" tint="-0.499984740745262"/>
      </bottom>
      <diagonal/>
    </border>
    <border>
      <left/>
      <right style="thin">
        <color auto="1"/>
      </right>
      <top/>
      <bottom style="thin">
        <color theme="0" tint="-0.34998626667073579"/>
      </bottom>
      <diagonal/>
    </border>
    <border>
      <left style="thin">
        <color auto="1"/>
      </left>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theme="0" tint="-0.14993743705557422"/>
      </left>
      <right style="thin">
        <color indexed="64"/>
      </right>
      <top style="thin">
        <color theme="0" tint="-0.14996795556505021"/>
      </top>
      <bottom/>
      <diagonal/>
    </border>
    <border>
      <left style="thin">
        <color auto="1"/>
      </left>
      <right/>
      <top style="thin">
        <color theme="0" tint="-0.499984740745262"/>
      </top>
      <bottom style="thin">
        <color theme="0" tint="-0.14996795556505021"/>
      </bottom>
      <diagonal/>
    </border>
    <border>
      <left style="thin">
        <color theme="0" tint="-0.14996795556505021"/>
      </left>
      <right style="thin">
        <color indexed="64"/>
      </right>
      <top style="thin">
        <color theme="0" tint="-0.499984740745262"/>
      </top>
      <bottom style="thin">
        <color theme="0" tint="-0.14996795556505021"/>
      </bottom>
      <diagonal/>
    </border>
    <border>
      <left style="thin">
        <color theme="0" tint="-0.14993743705557422"/>
      </left>
      <right style="thin">
        <color auto="1"/>
      </right>
      <top style="thin">
        <color theme="0" tint="-0.499984740745262"/>
      </top>
      <bottom style="thin">
        <color theme="0" tint="-0.14996795556505021"/>
      </bottom>
      <diagonal/>
    </border>
    <border>
      <left style="thin">
        <color auto="1"/>
      </left>
      <right/>
      <top style="thin">
        <color theme="0" tint="-0.14996795556505021"/>
      </top>
      <bottom style="thin">
        <color theme="0" tint="-0.499984740745262"/>
      </bottom>
      <diagonal/>
    </border>
    <border>
      <left style="thin">
        <color theme="0" tint="-0.14996795556505021"/>
      </left>
      <right style="thin">
        <color auto="1"/>
      </right>
      <top style="thin">
        <color theme="0" tint="-0.14996795556505021"/>
      </top>
      <bottom style="thin">
        <color theme="0" tint="-0.499984740745262"/>
      </bottom>
      <diagonal/>
    </border>
    <border>
      <left style="thin">
        <color theme="0" tint="-0.14993743705557422"/>
      </left>
      <right style="thin">
        <color auto="1"/>
      </right>
      <top style="thin">
        <color theme="0" tint="-0.14996795556505021"/>
      </top>
      <bottom style="thin">
        <color theme="0" tint="-0.499984740745262"/>
      </bottom>
      <diagonal/>
    </border>
    <border>
      <left style="thin">
        <color indexed="64"/>
      </left>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3743705557422"/>
      </left>
      <right style="thin">
        <color auto="1"/>
      </right>
      <top/>
      <bottom style="thin">
        <color theme="0" tint="-0.14996795556505021"/>
      </bottom>
      <diagonal/>
    </border>
    <border>
      <left/>
      <right/>
      <top/>
      <bottom style="medium">
        <color indexed="62"/>
      </bottom>
      <diagonal/>
    </border>
    <border>
      <left/>
      <right/>
      <top/>
      <bottom style="medium">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808080"/>
      </left>
      <right style="thin">
        <color rgb="FF808080"/>
      </right>
      <top style="thin">
        <color rgb="FF808080"/>
      </top>
      <bottom style="thin">
        <color rgb="FF808080"/>
      </bottom>
      <diagonal/>
    </border>
    <border>
      <left/>
      <right/>
      <top/>
      <bottom style="medium">
        <color rgb="FF333399"/>
      </bottom>
      <diagonal/>
    </border>
    <border>
      <left/>
      <right/>
      <top/>
      <bottom style="thick">
        <color rgb="FF333399"/>
      </bottom>
      <diagonal/>
    </border>
    <border>
      <left/>
      <right/>
      <top/>
      <bottom style="medium">
        <color rgb="FFC0C0C0"/>
      </bottom>
      <diagonal/>
    </border>
    <border>
      <left/>
      <right/>
      <top/>
      <bottom style="thick">
        <color rgb="FFC0C0C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theme="0" tint="-0.24994659260841701"/>
      </top>
      <bottom style="thin">
        <color theme="0" tint="-0.24994659260841701"/>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auto="1"/>
      </left>
      <right style="thin">
        <color rgb="FFD8D8D8"/>
      </right>
      <top/>
      <bottom style="thin">
        <color auto="1"/>
      </bottom>
      <diagonal/>
    </border>
    <border>
      <left style="thin">
        <color rgb="FFD8D8D8"/>
      </left>
      <right style="thin">
        <color rgb="FFD8D8D8"/>
      </right>
      <top/>
      <bottom style="thin">
        <color auto="1"/>
      </bottom>
      <diagonal/>
    </border>
    <border>
      <left style="thin">
        <color rgb="FFD8D8D8"/>
      </left>
      <right/>
      <top/>
      <bottom style="thin">
        <color auto="1"/>
      </bottom>
      <diagonal/>
    </border>
    <border>
      <left style="thin">
        <color indexed="64"/>
      </left>
      <right style="thin">
        <color indexed="64"/>
      </right>
      <top style="thin">
        <color auto="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tint="-0.24994659260841701"/>
      </left>
      <right style="thin">
        <color theme="0" tint="-0.24994659260841701"/>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24994659260841701"/>
      </right>
      <top/>
      <bottom style="thin">
        <color indexed="64"/>
      </bottom>
      <diagonal/>
    </border>
    <border>
      <left style="thin">
        <color auto="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indexed="64"/>
      </bottom>
      <diagonal/>
    </border>
    <border>
      <left/>
      <right style="thin">
        <color theme="0" tint="-0.24994659260841701"/>
      </right>
      <top style="thin">
        <color indexed="64"/>
      </top>
      <bottom/>
      <diagonal/>
    </border>
    <border>
      <left/>
      <right style="thin">
        <color indexed="64"/>
      </right>
      <top/>
      <bottom style="thin">
        <color theme="0" tint="-0.24994659260841701"/>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bottom/>
      <diagonal/>
    </border>
    <border>
      <left/>
      <right/>
      <top style="thin">
        <color theme="0" tint="-0.14996795556505021"/>
      </top>
      <bottom/>
      <diagonal/>
    </border>
    <border>
      <left/>
      <right style="thin">
        <color indexed="64"/>
      </right>
      <top style="thin">
        <color theme="0" tint="-0.14996795556505021"/>
      </top>
      <bottom/>
      <diagonal/>
    </border>
    <border>
      <left style="thin">
        <color indexed="64"/>
      </left>
      <right style="thin">
        <color theme="0" tint="-0.14996795556505021"/>
      </right>
      <top/>
      <bottom style="thin">
        <color indexed="64"/>
      </bottom>
      <diagonal/>
    </border>
    <border>
      <left/>
      <right style="thin">
        <color auto="1"/>
      </right>
      <top/>
      <bottom/>
      <diagonal/>
    </border>
    <border>
      <left style="thin">
        <color theme="0" tint="-0.34998626667073579"/>
      </left>
      <right style="thin">
        <color theme="0" tint="-0.34998626667073579"/>
      </right>
      <top/>
      <bottom style="thin">
        <color theme="0" tint="-0.14996795556505021"/>
      </bottom>
      <diagonal/>
    </border>
    <border>
      <left style="thin">
        <color theme="0" tint="-0.34998626667073579"/>
      </left>
      <right style="thin">
        <color theme="0" tint="-0.34998626667073579"/>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bottom style="thin">
        <color auto="1"/>
      </bottom>
      <diagonal/>
    </border>
    <border>
      <left style="thin">
        <color theme="0" tint="-0.24994659260841701"/>
      </left>
      <right style="thin">
        <color theme="0" tint="-0.14996795556505021"/>
      </right>
      <top/>
      <bottom/>
      <diagonal/>
    </border>
    <border>
      <left style="thin">
        <color theme="0" tint="-0.24994659260841701"/>
      </left>
      <right/>
      <top style="thin">
        <color indexed="64"/>
      </top>
      <bottom style="thin">
        <color auto="1"/>
      </bottom>
      <diagonal/>
    </border>
    <border>
      <left/>
      <right style="thin">
        <color auto="1"/>
      </right>
      <top/>
      <bottom/>
      <diagonal/>
    </border>
    <border>
      <left style="thin">
        <color indexed="64"/>
      </left>
      <right style="thin">
        <color indexed="64"/>
      </right>
      <top style="thin">
        <color theme="0" tint="-0.34998626667073579"/>
      </top>
      <bottom style="thin">
        <color theme="0" tint="-0.24994659260841701"/>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right/>
      <top/>
      <bottom style="thin">
        <color theme="0" tint="-0.14996795556505021"/>
      </bottom>
      <diagonal/>
    </border>
    <border>
      <left/>
      <right style="thin">
        <color indexed="64"/>
      </right>
      <top/>
      <bottom style="thin">
        <color theme="0" tint="-0.14996795556505021"/>
      </bottom>
      <diagonal/>
    </border>
    <border>
      <left/>
      <right style="thin">
        <color auto="1"/>
      </right>
      <top/>
      <bottom/>
      <diagonal/>
    </border>
    <border>
      <left style="thin">
        <color theme="0" tint="-0.24994659260841701"/>
      </left>
      <right style="thin">
        <color indexed="64"/>
      </right>
      <top/>
      <bottom style="thin">
        <color indexed="64"/>
      </bottom>
      <diagonal/>
    </border>
    <border>
      <left style="thin">
        <color indexed="64"/>
      </left>
      <right style="thin">
        <color theme="0" tint="-0.24994659260841701"/>
      </right>
      <top style="thin">
        <color theme="0" tint="-0.14996795556505021"/>
      </top>
      <bottom style="thin">
        <color theme="0" tint="-0.14996795556505021"/>
      </bottom>
      <diagonal/>
    </border>
    <border>
      <left style="thin">
        <color theme="0" tint="-0.24994659260841701"/>
      </left>
      <right style="thin">
        <color indexed="64"/>
      </right>
      <top style="thin">
        <color theme="0" tint="-0.14996795556505021"/>
      </top>
      <bottom style="thin">
        <color theme="0" tint="-0.14996795556505021"/>
      </bottom>
      <diagonal/>
    </border>
    <border>
      <left style="thin">
        <color indexed="64"/>
      </left>
      <right style="thin">
        <color indexed="64"/>
      </right>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auto="1"/>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34998626667073579"/>
      </bottom>
      <diagonal/>
    </border>
    <border>
      <left/>
      <right style="thin">
        <color auto="1"/>
      </right>
      <top/>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style="thin">
        <color theme="0" tint="-0.34998626667073579"/>
      </right>
      <top style="thin">
        <color indexed="64"/>
      </top>
      <bottom style="thin">
        <color indexed="64"/>
      </bottom>
      <diagonal/>
    </border>
    <border>
      <left style="thin">
        <color theme="0" tint="-0.34998626667073579"/>
      </left>
      <right style="thin">
        <color theme="0" tint="-0.24994659260841701"/>
      </right>
      <top style="thin">
        <color indexed="64"/>
      </top>
      <bottom style="thin">
        <color indexed="64"/>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style="thin">
        <color theme="0" tint="-0.34998626667073579"/>
      </right>
      <top style="thin">
        <color theme="0" tint="-0.14996795556505021"/>
      </top>
      <bottom style="thin">
        <color theme="0" tint="-0.14996795556505021"/>
      </bottom>
      <diagonal/>
    </border>
    <border>
      <left style="thin">
        <color theme="0" tint="-0.34998626667073579"/>
      </left>
      <right style="thin">
        <color theme="0" tint="-0.24994659260841701"/>
      </right>
      <top style="thin">
        <color theme="0" tint="-0.14996795556505021"/>
      </top>
      <bottom style="thin">
        <color theme="0" tint="-0.1499679555650502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34998626667073579"/>
      </top>
      <bottom/>
      <diagonal/>
    </border>
    <border>
      <left/>
      <right/>
      <top style="thin">
        <color theme="0" tint="-0.34998626667073579"/>
      </top>
      <bottom/>
      <diagonal/>
    </border>
    <border>
      <left/>
      <right style="thin">
        <color auto="1"/>
      </right>
      <top/>
      <bottom/>
      <diagonal/>
    </border>
    <border>
      <left/>
      <right style="thin">
        <color auto="1"/>
      </right>
      <top/>
      <bottom/>
      <diagonal/>
    </border>
    <border>
      <left/>
      <right style="thin">
        <color auto="1"/>
      </right>
      <top/>
      <bottom/>
      <diagonal/>
    </border>
    <border>
      <left style="thin">
        <color theme="0" tint="-0.14996795556505021"/>
      </left>
      <right/>
      <top style="thin">
        <color indexed="64"/>
      </top>
      <bottom style="thin">
        <color auto="1"/>
      </bottom>
      <diagonal/>
    </border>
    <border>
      <left style="thin">
        <color theme="0" tint="-0.14996795556505021"/>
      </left>
      <right style="thin">
        <color indexed="64"/>
      </right>
      <top style="thin">
        <color indexed="64"/>
      </top>
      <bottom style="thin">
        <color auto="1"/>
      </bottom>
      <diagonal/>
    </border>
    <border>
      <left/>
      <right style="thin">
        <color theme="0" tint="-0.14996795556505021"/>
      </right>
      <top style="thin">
        <color indexed="64"/>
      </top>
      <bottom style="thin">
        <color indexed="64"/>
      </bottom>
      <diagonal/>
    </border>
    <border>
      <left/>
      <right style="thin">
        <color auto="1"/>
      </right>
      <top/>
      <bottom/>
      <diagonal/>
    </border>
    <border>
      <left/>
      <right style="thin">
        <color auto="1"/>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right/>
      <top style="thin">
        <color indexed="64"/>
      </top>
      <bottom style="thin">
        <color auto="1"/>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auto="1"/>
      </right>
      <top/>
      <bottom/>
      <diagonal/>
    </border>
    <border>
      <left style="thin">
        <color indexed="22"/>
      </left>
      <right/>
      <top/>
      <bottom/>
      <diagonal/>
    </border>
    <border>
      <left style="thin">
        <color theme="0" tint="-0.24994659260841701"/>
      </left>
      <right/>
      <top style="thin">
        <color theme="0" tint="-0.24994659260841701"/>
      </top>
      <bottom style="thin">
        <color theme="0" tint="-0.2499465926084170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theme="0" tint="-0.24994659260841701"/>
      </top>
      <bottom/>
      <diagonal/>
    </border>
    <border>
      <left style="thin">
        <color indexed="55"/>
      </left>
      <right style="thin">
        <color indexed="55"/>
      </right>
      <top style="thin">
        <color indexed="55"/>
      </top>
      <bottom style="thin">
        <color indexed="55"/>
      </bottom>
      <diagonal/>
    </border>
    <border>
      <left style="thin">
        <color theme="0" tint="-0.24994659260841701"/>
      </left>
      <right style="thin">
        <color theme="1"/>
      </right>
      <top style="thin">
        <color theme="0" tint="-0.24994659260841701"/>
      </top>
      <bottom style="thin">
        <color theme="0" tint="-0.24994659260841701"/>
      </bottom>
      <diagonal/>
    </border>
    <border>
      <left style="thin">
        <color theme="1"/>
      </left>
      <right style="thin">
        <color theme="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s>
  <cellStyleXfs count="2257">
    <xf numFmtId="0" fontId="0" fillId="0" borderId="0"/>
    <xf numFmtId="0" fontId="67" fillId="2" borderId="0" applyNumberFormat="0" applyBorder="0" applyAlignment="0" applyProtection="0"/>
    <xf numFmtId="0" fontId="67" fillId="3" borderId="0" applyNumberFormat="0" applyBorder="0" applyAlignment="0" applyProtection="0"/>
    <xf numFmtId="0" fontId="67" fillId="4" borderId="0" applyNumberFormat="0" applyBorder="0" applyAlignment="0" applyProtection="0"/>
    <xf numFmtId="0" fontId="67" fillId="5"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8" fillId="22" borderId="0" applyNumberFormat="0" applyBorder="0" applyAlignment="0" applyProtection="0"/>
    <xf numFmtId="0" fontId="68" fillId="16" borderId="0" applyNumberFormat="0" applyBorder="0" applyAlignment="0" applyProtection="0"/>
    <xf numFmtId="0" fontId="68" fillId="18" borderId="0" applyNumberFormat="0" applyBorder="0" applyAlignment="0" applyProtection="0"/>
    <xf numFmtId="0" fontId="68"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68" fillId="28" borderId="0" applyNumberFormat="0" applyBorder="0" applyAlignment="0" applyProtection="0"/>
    <xf numFmtId="0" fontId="68" fillId="23" borderId="0" applyNumberFormat="0" applyBorder="0" applyAlignment="0" applyProtection="0"/>
    <xf numFmtId="0" fontId="68" fillId="24" borderId="0" applyNumberFormat="0" applyBorder="0" applyAlignment="0" applyProtection="0"/>
    <xf numFmtId="0" fontId="68" fillId="29" borderId="0" applyNumberFormat="0" applyBorder="0" applyAlignment="0" applyProtection="0"/>
    <xf numFmtId="0" fontId="69" fillId="4" borderId="0" applyNumberFormat="0" applyBorder="0" applyAlignment="0" applyProtection="0"/>
    <xf numFmtId="0" fontId="70" fillId="30" borderId="1" applyNumberFormat="0" applyAlignment="0" applyProtection="0"/>
    <xf numFmtId="0" fontId="71" fillId="31" borderId="2" applyNumberFormat="0" applyAlignment="0" applyProtection="0"/>
    <xf numFmtId="0" fontId="72" fillId="0" borderId="0" applyNumberFormat="0" applyFill="0" applyBorder="0" applyAlignment="0" applyProtection="0"/>
    <xf numFmtId="0" fontId="73" fillId="6" borderId="0" applyNumberFormat="0" applyBorder="0" applyAlignment="0" applyProtection="0"/>
    <xf numFmtId="0" fontId="74" fillId="0" borderId="3" applyNumberFormat="0" applyFill="0" applyAlignment="0" applyProtection="0"/>
    <xf numFmtId="0" fontId="75" fillId="0" borderId="4" applyNumberFormat="0" applyFill="0" applyAlignment="0" applyProtection="0"/>
    <xf numFmtId="0" fontId="76" fillId="0" borderId="5" applyNumberFormat="0" applyFill="0" applyAlignment="0" applyProtection="0"/>
    <xf numFmtId="0" fontId="76" fillId="0" borderId="0" applyNumberFormat="0" applyFill="0" applyBorder="0" applyAlignment="0" applyProtection="0"/>
    <xf numFmtId="0" fontId="2"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2" fillId="0" borderId="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8" fillId="12" borderId="1" applyNumberFormat="0" applyAlignment="0" applyProtection="0"/>
    <xf numFmtId="0" fontId="79" fillId="0" borderId="6" applyNumberFormat="0" applyFill="0" applyAlignment="0" applyProtection="0"/>
    <xf numFmtId="0" fontId="80" fillId="32" borderId="0" applyNumberFormat="0" applyBorder="0" applyAlignment="0" applyProtection="0"/>
    <xf numFmtId="0" fontId="5" fillId="0" borderId="0"/>
    <xf numFmtId="0" fontId="4" fillId="0" borderId="0"/>
    <xf numFmtId="0" fontId="1" fillId="0" borderId="0"/>
    <xf numFmtId="0" fontId="4" fillId="0" borderId="0"/>
    <xf numFmtId="0" fontId="85" fillId="0" borderId="0"/>
    <xf numFmtId="0" fontId="85" fillId="0" borderId="0"/>
    <xf numFmtId="0" fontId="85" fillId="0" borderId="0"/>
    <xf numFmtId="0" fontId="128" fillId="0" borderId="0"/>
    <xf numFmtId="0" fontId="1" fillId="0" borderId="0"/>
    <xf numFmtId="0" fontId="4" fillId="0" borderId="0"/>
    <xf numFmtId="0" fontId="1" fillId="0" borderId="0"/>
    <xf numFmtId="0" fontId="126" fillId="0" borderId="0"/>
    <xf numFmtId="0" fontId="47" fillId="0" borderId="0"/>
    <xf numFmtId="0" fontId="1" fillId="0" borderId="0"/>
    <xf numFmtId="0" fontId="4" fillId="0" borderId="0"/>
    <xf numFmtId="0" fontId="4" fillId="0" borderId="0"/>
    <xf numFmtId="0" fontId="131" fillId="0" borderId="0"/>
    <xf numFmtId="0" fontId="3" fillId="0" borderId="0"/>
    <xf numFmtId="0" fontId="5" fillId="0" borderId="0"/>
    <xf numFmtId="0" fontId="1" fillId="0" borderId="0"/>
    <xf numFmtId="0" fontId="4" fillId="0" borderId="0"/>
    <xf numFmtId="0" fontId="130" fillId="0" borderId="0"/>
    <xf numFmtId="0" fontId="1" fillId="0" borderId="0"/>
    <xf numFmtId="0" fontId="4" fillId="0" borderId="0"/>
    <xf numFmtId="0" fontId="130" fillId="0" borderId="0"/>
    <xf numFmtId="0" fontId="130" fillId="0" borderId="0"/>
    <xf numFmtId="0" fontId="1" fillId="0" borderId="0"/>
    <xf numFmtId="0" fontId="131" fillId="0" borderId="0"/>
    <xf numFmtId="0" fontId="3" fillId="0" borderId="0"/>
    <xf numFmtId="0" fontId="5" fillId="0" borderId="0"/>
    <xf numFmtId="0" fontId="5" fillId="0" borderId="0"/>
    <xf numFmtId="0" fontId="130" fillId="0" borderId="0"/>
    <xf numFmtId="0" fontId="85" fillId="0" borderId="0"/>
    <xf numFmtId="0" fontId="130" fillId="0" borderId="0"/>
    <xf numFmtId="0" fontId="3" fillId="0" borderId="0"/>
    <xf numFmtId="0" fontId="28" fillId="0" borderId="0"/>
    <xf numFmtId="0" fontId="114" fillId="0" borderId="0"/>
    <xf numFmtId="0" fontId="67" fillId="33" borderId="7" applyNumberFormat="0" applyFont="0" applyAlignment="0" applyProtection="0"/>
    <xf numFmtId="0" fontId="4" fillId="34" borderId="7" applyNumberFormat="0" applyFont="0" applyAlignment="0" applyProtection="0"/>
    <xf numFmtId="0" fontId="81" fillId="30" borderId="8" applyNumberFormat="0" applyAlignment="0" applyProtection="0"/>
    <xf numFmtId="9" fontId="1" fillId="0" borderId="0" applyFont="0" applyFill="0" applyBorder="0" applyAlignment="0" applyProtection="0"/>
    <xf numFmtId="9" fontId="67" fillId="0" borderId="0" applyFont="0" applyFill="0" applyBorder="0" applyAlignment="0" applyProtection="0"/>
    <xf numFmtId="9" fontId="4" fillId="0" borderId="0" applyFont="0" applyFill="0" applyBorder="0" applyAlignment="0" applyProtection="0"/>
    <xf numFmtId="9" fontId="128" fillId="0" borderId="0"/>
    <xf numFmtId="0" fontId="82" fillId="0" borderId="0" applyNumberFormat="0" applyFill="0" applyBorder="0" applyAlignment="0" applyProtection="0"/>
    <xf numFmtId="0" fontId="83" fillId="0" borderId="9" applyNumberFormat="0" applyFill="0" applyAlignment="0" applyProtection="0"/>
    <xf numFmtId="0" fontId="84" fillId="0" borderId="0" applyNumberFormat="0" applyFill="0" applyBorder="0" applyAlignment="0" applyProtection="0"/>
    <xf numFmtId="0" fontId="85" fillId="0" borderId="0"/>
    <xf numFmtId="0" fontId="187" fillId="0" borderId="0"/>
    <xf numFmtId="0" fontId="47" fillId="0" borderId="0"/>
    <xf numFmtId="0" fontId="85" fillId="0" borderId="0"/>
    <xf numFmtId="0" fontId="85" fillId="0" borderId="0"/>
    <xf numFmtId="0" fontId="47" fillId="0" borderId="0"/>
    <xf numFmtId="0" fontId="2" fillId="0" borderId="0">
      <alignment vertical="top"/>
      <protection locked="0"/>
    </xf>
    <xf numFmtId="0" fontId="67" fillId="3" borderId="0"/>
    <xf numFmtId="0" fontId="67" fillId="3" borderId="0"/>
    <xf numFmtId="0" fontId="67" fillId="3" borderId="0"/>
    <xf numFmtId="0" fontId="67" fillId="3" borderId="0"/>
    <xf numFmtId="0" fontId="67" fillId="3" borderId="0"/>
    <xf numFmtId="0" fontId="67" fillId="5" borderId="0"/>
    <xf numFmtId="0" fontId="67" fillId="5" borderId="0"/>
    <xf numFmtId="0" fontId="67" fillId="5" borderId="0"/>
    <xf numFmtId="0" fontId="67" fillId="5" borderId="0"/>
    <xf numFmtId="0" fontId="67" fillId="5" borderId="0"/>
    <xf numFmtId="0" fontId="67" fillId="7" borderId="0"/>
    <xf numFmtId="0" fontId="67" fillId="7" borderId="0"/>
    <xf numFmtId="0" fontId="67" fillId="7" borderId="0"/>
    <xf numFmtId="0" fontId="67" fillId="7" borderId="0"/>
    <xf numFmtId="0" fontId="67" fillId="7" borderId="0"/>
    <xf numFmtId="0" fontId="67" fillId="9" borderId="0"/>
    <xf numFmtId="0" fontId="67" fillId="9" borderId="0"/>
    <xf numFmtId="0" fontId="67" fillId="9" borderId="0"/>
    <xf numFmtId="0" fontId="67" fillId="9" borderId="0"/>
    <xf numFmtId="0" fontId="67" fillId="9" borderId="0"/>
    <xf numFmtId="0" fontId="67" fillId="11" borderId="0"/>
    <xf numFmtId="0" fontId="67" fillId="11" borderId="0"/>
    <xf numFmtId="0" fontId="67" fillId="11" borderId="0"/>
    <xf numFmtId="0" fontId="67" fillId="11" borderId="0"/>
    <xf numFmtId="0" fontId="67" fillId="11" borderId="0"/>
    <xf numFmtId="0" fontId="67" fillId="13" borderId="0"/>
    <xf numFmtId="0" fontId="67" fillId="13" borderId="0"/>
    <xf numFmtId="0" fontId="67" fillId="13" borderId="0"/>
    <xf numFmtId="0" fontId="67" fillId="13" borderId="0"/>
    <xf numFmtId="0" fontId="67" fillId="13" borderId="0"/>
    <xf numFmtId="0" fontId="67" fillId="15" borderId="0"/>
    <xf numFmtId="0" fontId="67" fillId="15" borderId="0"/>
    <xf numFmtId="0" fontId="67" fillId="15" borderId="0"/>
    <xf numFmtId="0" fontId="67" fillId="15" borderId="0"/>
    <xf numFmtId="0" fontId="67" fillId="15" borderId="0"/>
    <xf numFmtId="0" fontId="67" fillId="17" borderId="0"/>
    <xf numFmtId="0" fontId="67" fillId="17" borderId="0"/>
    <xf numFmtId="0" fontId="67" fillId="17" borderId="0"/>
    <xf numFmtId="0" fontId="67" fillId="17" borderId="0"/>
    <xf numFmtId="0" fontId="67" fillId="17" borderId="0"/>
    <xf numFmtId="0" fontId="67" fillId="19" borderId="0"/>
    <xf numFmtId="0" fontId="67" fillId="19" borderId="0"/>
    <xf numFmtId="0" fontId="67" fillId="19" borderId="0"/>
    <xf numFmtId="0" fontId="67" fillId="19" borderId="0"/>
    <xf numFmtId="0" fontId="67" fillId="19" borderId="0"/>
    <xf numFmtId="0" fontId="67" fillId="9" borderId="0"/>
    <xf numFmtId="0" fontId="67" fillId="9" borderId="0"/>
    <xf numFmtId="0" fontId="67" fillId="9" borderId="0"/>
    <xf numFmtId="0" fontId="67" fillId="9" borderId="0"/>
    <xf numFmtId="0" fontId="67" fillId="9" borderId="0"/>
    <xf numFmtId="0" fontId="67" fillId="15" borderId="0"/>
    <xf numFmtId="0" fontId="67" fillId="15" borderId="0"/>
    <xf numFmtId="0" fontId="67" fillId="15" borderId="0"/>
    <xf numFmtId="0" fontId="67" fillId="15" borderId="0"/>
    <xf numFmtId="0" fontId="67" fillId="15" borderId="0"/>
    <xf numFmtId="0" fontId="67" fillId="21" borderId="0"/>
    <xf numFmtId="0" fontId="67" fillId="21" borderId="0"/>
    <xf numFmtId="0" fontId="67" fillId="21" borderId="0"/>
    <xf numFmtId="0" fontId="67" fillId="21" borderId="0"/>
    <xf numFmtId="0" fontId="67" fillId="21" borderId="0"/>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0" fillId="40" borderId="1"/>
    <xf numFmtId="0" fontId="74" fillId="0" borderId="122"/>
    <xf numFmtId="0" fontId="74" fillId="0" borderId="122"/>
    <xf numFmtId="0" fontId="74" fillId="0" borderId="122"/>
    <xf numFmtId="0" fontId="74" fillId="0" borderId="122"/>
    <xf numFmtId="0" fontId="74" fillId="0" borderId="122"/>
    <xf numFmtId="0" fontId="75" fillId="0" borderId="123"/>
    <xf numFmtId="0" fontId="75" fillId="0" borderId="123"/>
    <xf numFmtId="0" fontId="75" fillId="0" borderId="123"/>
    <xf numFmtId="0" fontId="75" fillId="0" borderId="123"/>
    <xf numFmtId="0" fontId="75" fillId="0" borderId="123"/>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78" fillId="13" borderId="1"/>
    <xf numFmtId="0" fontId="2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10" fillId="0" borderId="0"/>
    <xf numFmtId="0" fontId="85" fillId="0" borderId="0"/>
    <xf numFmtId="0" fontId="85" fillId="33" borderId="7"/>
    <xf numFmtId="0" fontId="85" fillId="33"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3"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5" fillId="34" borderId="7"/>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0" fontId="81" fillId="40" borderId="8"/>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9" fontId="85" fillId="0" borderId="0"/>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83" fillId="0" borderId="9"/>
    <xf numFmtId="0" fontId="210" fillId="0" borderId="0"/>
    <xf numFmtId="0" fontId="211" fillId="0" borderId="0"/>
    <xf numFmtId="0" fontId="210" fillId="0" borderId="0"/>
    <xf numFmtId="0" fontId="28" fillId="0" borderId="0"/>
    <xf numFmtId="0" fontId="3" fillId="0" borderId="0"/>
    <xf numFmtId="0" fontId="28" fillId="0" borderId="0"/>
    <xf numFmtId="0" fontId="217" fillId="0" borderId="0" applyNumberFormat="0" applyFill="0" applyBorder="0" applyAlignment="0" applyProtection="0"/>
    <xf numFmtId="0" fontId="211" fillId="58" borderId="0"/>
    <xf numFmtId="0" fontId="211" fillId="58" borderId="0"/>
    <xf numFmtId="0" fontId="211" fillId="58" borderId="0"/>
    <xf numFmtId="0" fontId="211" fillId="59" borderId="0"/>
    <xf numFmtId="0" fontId="211" fillId="59" borderId="0"/>
    <xf numFmtId="0" fontId="211" fillId="59" borderId="0"/>
    <xf numFmtId="0" fontId="211" fillId="60" borderId="0"/>
    <xf numFmtId="0" fontId="211" fillId="60" borderId="0"/>
    <xf numFmtId="0" fontId="211" fillId="60" borderId="0"/>
    <xf numFmtId="0" fontId="211" fillId="61" borderId="0"/>
    <xf numFmtId="0" fontId="211" fillId="61" borderId="0"/>
    <xf numFmtId="0" fontId="211" fillId="61" borderId="0"/>
    <xf numFmtId="0" fontId="211" fillId="62" borderId="0"/>
    <xf numFmtId="0" fontId="211" fillId="62" borderId="0"/>
    <xf numFmtId="0" fontId="211" fillId="62" borderId="0"/>
    <xf numFmtId="0" fontId="211" fillId="63" borderId="0"/>
    <xf numFmtId="0" fontId="211" fillId="63" borderId="0"/>
    <xf numFmtId="0" fontId="211" fillId="63" borderId="0"/>
    <xf numFmtId="0" fontId="211" fillId="64" borderId="0"/>
    <xf numFmtId="0" fontId="211" fillId="64" borderId="0"/>
    <xf numFmtId="0" fontId="211" fillId="64" borderId="0"/>
    <xf numFmtId="0" fontId="211" fillId="65" borderId="0"/>
    <xf numFmtId="0" fontId="211" fillId="65" borderId="0"/>
    <xf numFmtId="0" fontId="211" fillId="65" borderId="0"/>
    <xf numFmtId="0" fontId="211" fillId="66" borderId="0"/>
    <xf numFmtId="0" fontId="211" fillId="66" borderId="0"/>
    <xf numFmtId="0" fontId="211" fillId="66" borderId="0"/>
    <xf numFmtId="0" fontId="211" fillId="61" borderId="0"/>
    <xf numFmtId="0" fontId="211" fillId="61" borderId="0"/>
    <xf numFmtId="0" fontId="211" fillId="61" borderId="0"/>
    <xf numFmtId="0" fontId="211" fillId="64" borderId="0"/>
    <xf numFmtId="0" fontId="211" fillId="64" borderId="0"/>
    <xf numFmtId="0" fontId="211" fillId="64" borderId="0"/>
    <xf numFmtId="0" fontId="211" fillId="67" borderId="0"/>
    <xf numFmtId="0" fontId="211" fillId="67" borderId="0"/>
    <xf numFmtId="0" fontId="211" fillId="67" borderId="0"/>
    <xf numFmtId="0" fontId="221" fillId="68" borderId="130"/>
    <xf numFmtId="175" fontId="1" fillId="0" borderId="0"/>
    <xf numFmtId="175" fontId="1" fillId="0" borderId="0"/>
    <xf numFmtId="0" fontId="222" fillId="0" borderId="131"/>
    <xf numFmtId="0" fontId="222" fillId="0" borderId="131"/>
    <xf numFmtId="0" fontId="222" fillId="0" borderId="132"/>
    <xf numFmtId="0" fontId="223" fillId="0" borderId="133"/>
    <xf numFmtId="0" fontId="223" fillId="0" borderId="133"/>
    <xf numFmtId="0" fontId="223" fillId="0" borderId="134"/>
    <xf numFmtId="0" fontId="224" fillId="0" borderId="0">
      <alignment vertical="top"/>
    </xf>
    <xf numFmtId="0" fontId="225" fillId="63" borderId="130"/>
    <xf numFmtId="0" fontId="28" fillId="0" borderId="0"/>
    <xf numFmtId="0" fontId="1" fillId="69" borderId="135"/>
    <xf numFmtId="0" fontId="1" fillId="69" borderId="135"/>
    <xf numFmtId="0" fontId="226" fillId="68" borderId="136"/>
    <xf numFmtId="9" fontId="1" fillId="0" borderId="0"/>
    <xf numFmtId="9" fontId="1" fillId="0" borderId="0"/>
    <xf numFmtId="9" fontId="211" fillId="0" borderId="0"/>
    <xf numFmtId="0" fontId="227" fillId="0" borderId="137"/>
    <xf numFmtId="0" fontId="85" fillId="0" borderId="0"/>
    <xf numFmtId="0" fontId="85" fillId="0" borderId="0"/>
    <xf numFmtId="0" fontId="313" fillId="0" borderId="0"/>
    <xf numFmtId="0" fontId="85" fillId="0" borderId="0"/>
    <xf numFmtId="0" fontId="67" fillId="3" borderId="0"/>
    <xf numFmtId="0" fontId="67" fillId="5" borderId="0"/>
    <xf numFmtId="0" fontId="67" fillId="7" borderId="0"/>
    <xf numFmtId="0" fontId="67" fillId="9" borderId="0"/>
    <xf numFmtId="0" fontId="67" fillId="11" borderId="0"/>
    <xf numFmtId="0" fontId="67" fillId="13" borderId="0"/>
    <xf numFmtId="0" fontId="67" fillId="15" borderId="0"/>
    <xf numFmtId="0" fontId="67" fillId="17" borderId="0"/>
    <xf numFmtId="0" fontId="67" fillId="19" borderId="0"/>
    <xf numFmtId="0" fontId="67" fillId="9" borderId="0"/>
    <xf numFmtId="0" fontId="67" fillId="15" borderId="0"/>
    <xf numFmtId="0" fontId="67" fillId="21" borderId="0"/>
    <xf numFmtId="0" fontId="68" fillId="83" borderId="0"/>
    <xf numFmtId="0" fontId="68" fillId="17" borderId="0"/>
    <xf numFmtId="0" fontId="68" fillId="19" borderId="0"/>
    <xf numFmtId="0" fontId="68" fillId="84" borderId="0"/>
    <xf numFmtId="0" fontId="68" fillId="85" borderId="0"/>
    <xf numFmtId="0" fontId="68" fillId="86" borderId="0"/>
    <xf numFmtId="0" fontId="68" fillId="87" borderId="0"/>
    <xf numFmtId="0" fontId="68" fillId="88" borderId="0"/>
    <xf numFmtId="0" fontId="68" fillId="39" borderId="0"/>
    <xf numFmtId="0" fontId="68" fillId="84" borderId="0"/>
    <xf numFmtId="0" fontId="68" fillId="85" borderId="0"/>
    <xf numFmtId="0" fontId="68" fillId="89" borderId="0"/>
    <xf numFmtId="0" fontId="69" fillId="5" borderId="0"/>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0" fillId="40" borderId="263"/>
    <xf numFmtId="0" fontId="71" fillId="90" borderId="2"/>
    <xf numFmtId="0" fontId="72" fillId="0" borderId="0"/>
    <xf numFmtId="0" fontId="73" fillId="7" borderId="0"/>
    <xf numFmtId="0" fontId="76" fillId="0" borderId="5"/>
    <xf numFmtId="0" fontId="76" fillId="0" borderId="0"/>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8" fillId="13" borderId="263"/>
    <xf numFmtId="0" fontId="79" fillId="0" borderId="6"/>
    <xf numFmtId="0" fontId="80" fillId="37"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85" fillId="0" borderId="0"/>
    <xf numFmtId="0" fontId="85" fillId="0" borderId="0"/>
    <xf numFmtId="0" fontId="85" fillId="0" borderId="0"/>
    <xf numFmtId="0" fontId="85" fillId="0" borderId="0"/>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3"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5" fillId="34" borderId="264"/>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0" fontId="81" fillId="40" borderId="265"/>
    <xf numFmtId="9" fontId="187" fillId="0" borderId="0"/>
    <xf numFmtId="0" fontId="315" fillId="0" borderId="0"/>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3" fillId="0" borderId="266"/>
    <xf numFmtId="0" fontId="84" fillId="0" borderId="0"/>
    <xf numFmtId="0" fontId="2" fillId="0" borderId="0">
      <alignment vertical="top"/>
      <protection locked="0"/>
    </xf>
    <xf numFmtId="0" fontId="2" fillId="0" borderId="0" applyNumberFormat="0" applyFill="0" applyBorder="0" applyAlignment="0" applyProtection="0">
      <alignment vertical="top"/>
      <protection locked="0"/>
    </xf>
  </cellStyleXfs>
  <cellXfs count="4226">
    <xf numFmtId="0" fontId="0" fillId="0" borderId="0" xfId="0"/>
    <xf numFmtId="0" fontId="3" fillId="0" borderId="0" xfId="84"/>
    <xf numFmtId="0" fontId="5" fillId="0" borderId="0" xfId="84" applyFont="1" applyBorder="1" applyAlignment="1" applyProtection="1">
      <alignment horizontal="right"/>
      <protection hidden="1"/>
    </xf>
    <xf numFmtId="165" fontId="20" fillId="35" borderId="12" xfId="64" applyNumberFormat="1" applyFont="1" applyFill="1" applyBorder="1" applyAlignment="1" applyProtection="1">
      <alignment horizontal="center"/>
      <protection hidden="1"/>
    </xf>
    <xf numFmtId="0" fontId="3" fillId="0" borderId="0" xfId="69" applyFont="1"/>
    <xf numFmtId="0" fontId="1" fillId="0" borderId="0" xfId="69"/>
    <xf numFmtId="164" fontId="3" fillId="13" borderId="0" xfId="66" applyNumberFormat="1" applyFont="1" applyFill="1" applyBorder="1" applyAlignment="1" applyProtection="1">
      <alignment horizontal="center"/>
      <protection hidden="1"/>
    </xf>
    <xf numFmtId="0" fontId="3" fillId="7" borderId="0" xfId="66" applyFont="1" applyFill="1" applyBorder="1" applyProtection="1">
      <protection hidden="1"/>
    </xf>
    <xf numFmtId="0" fontId="3" fillId="37" borderId="0" xfId="66" applyFont="1" applyFill="1" applyProtection="1">
      <protection locked="0"/>
    </xf>
    <xf numFmtId="164" fontId="3" fillId="13" borderId="0" xfId="66" applyNumberFormat="1" applyFont="1" applyFill="1" applyBorder="1" applyProtection="1">
      <protection hidden="1"/>
    </xf>
    <xf numFmtId="0" fontId="3" fillId="37" borderId="0" xfId="66" applyFont="1" applyFill="1" applyBorder="1" applyProtection="1">
      <protection locked="0"/>
    </xf>
    <xf numFmtId="0" fontId="12" fillId="38" borderId="0" xfId="66" applyFont="1" applyFill="1" applyBorder="1" applyProtection="1">
      <protection hidden="1"/>
    </xf>
    <xf numFmtId="0" fontId="5" fillId="0" borderId="0" xfId="66" applyFont="1" applyFill="1" applyBorder="1" applyProtection="1">
      <protection hidden="1"/>
    </xf>
    <xf numFmtId="0" fontId="29" fillId="15" borderId="0" xfId="66" applyFont="1" applyFill="1" applyBorder="1" applyProtection="1">
      <protection hidden="1"/>
    </xf>
    <xf numFmtId="0" fontId="3" fillId="15" borderId="0" xfId="66" applyFont="1" applyFill="1" applyBorder="1" applyProtection="1">
      <protection hidden="1"/>
    </xf>
    <xf numFmtId="0" fontId="3" fillId="15" borderId="0" xfId="66" applyFont="1" applyFill="1" applyProtection="1">
      <protection hidden="1"/>
    </xf>
    <xf numFmtId="1" fontId="3" fillId="15" borderId="0" xfId="66" applyNumberFormat="1" applyFont="1" applyFill="1" applyBorder="1" applyProtection="1">
      <protection hidden="1"/>
    </xf>
    <xf numFmtId="0" fontId="3" fillId="37" borderId="0" xfId="90" applyFont="1" applyFill="1" applyProtection="1">
      <protection locked="0"/>
    </xf>
    <xf numFmtId="0" fontId="36" fillId="7" borderId="0" xfId="69" applyFont="1" applyFill="1" applyBorder="1" applyProtection="1">
      <protection hidden="1"/>
    </xf>
    <xf numFmtId="0" fontId="3" fillId="35" borderId="0" xfId="69" applyFont="1" applyFill="1"/>
    <xf numFmtId="0" fontId="1" fillId="0" borderId="0" xfId="69" applyProtection="1">
      <protection hidden="1"/>
    </xf>
    <xf numFmtId="1" fontId="3" fillId="37" borderId="0" xfId="69" applyNumberFormat="1" applyFont="1" applyFill="1" applyProtection="1">
      <protection locked="0"/>
    </xf>
    <xf numFmtId="0" fontId="40" fillId="35" borderId="11" xfId="0" applyFont="1" applyFill="1" applyBorder="1" applyProtection="1">
      <protection hidden="1"/>
    </xf>
    <xf numFmtId="0" fontId="40" fillId="35" borderId="16" xfId="0" applyFont="1" applyFill="1" applyBorder="1" applyProtection="1">
      <protection hidden="1"/>
    </xf>
    <xf numFmtId="0" fontId="3" fillId="35" borderId="0" xfId="69" applyFont="1" applyFill="1" applyBorder="1" applyProtection="1">
      <protection locked="0"/>
    </xf>
    <xf numFmtId="0" fontId="3" fillId="37" borderId="0" xfId="69" applyFont="1" applyFill="1" applyProtection="1">
      <protection locked="0"/>
    </xf>
    <xf numFmtId="0" fontId="3" fillId="37" borderId="0" xfId="84" applyFont="1" applyFill="1" applyProtection="1">
      <protection locked="0"/>
    </xf>
    <xf numFmtId="0" fontId="3" fillId="37" borderId="0" xfId="0" applyFont="1" applyFill="1" applyProtection="1">
      <protection locked="0"/>
    </xf>
    <xf numFmtId="2" fontId="5" fillId="35" borderId="17" xfId="73" applyNumberFormat="1" applyFont="1" applyFill="1" applyBorder="1" applyAlignment="1" applyProtection="1">
      <alignment horizontal="center"/>
      <protection hidden="1"/>
    </xf>
    <xf numFmtId="0" fontId="13" fillId="35" borderId="0" xfId="69" applyFont="1" applyFill="1" applyBorder="1" applyAlignment="1" applyProtection="1">
      <alignment horizontal="left"/>
      <protection hidden="1"/>
    </xf>
    <xf numFmtId="0" fontId="3" fillId="35" borderId="0" xfId="69" applyFont="1" applyFill="1" applyBorder="1" applyProtection="1">
      <protection hidden="1"/>
    </xf>
    <xf numFmtId="0" fontId="25" fillId="35" borderId="0" xfId="46" applyFont="1" applyFill="1" applyAlignment="1" applyProtection="1">
      <alignment horizontal="center"/>
      <protection hidden="1"/>
    </xf>
    <xf numFmtId="0" fontId="20" fillId="35" borderId="0" xfId="66" applyFont="1" applyFill="1" applyAlignment="1" applyProtection="1">
      <alignment horizontal="centerContinuous" wrapText="1"/>
      <protection hidden="1"/>
    </xf>
    <xf numFmtId="0" fontId="5" fillId="35" borderId="0" xfId="66" applyFont="1" applyFill="1" applyAlignment="1" applyProtection="1">
      <alignment horizontal="centerContinuous"/>
      <protection hidden="1"/>
    </xf>
    <xf numFmtId="0" fontId="3" fillId="35" borderId="0" xfId="66" applyFont="1" applyFill="1" applyBorder="1" applyAlignment="1" applyProtection="1">
      <alignment horizontal="right"/>
      <protection hidden="1"/>
    </xf>
    <xf numFmtId="0" fontId="1" fillId="35" borderId="0" xfId="66" applyFill="1" applyProtection="1">
      <protection hidden="1"/>
    </xf>
    <xf numFmtId="0" fontId="3" fillId="35" borderId="0" xfId="66" applyFont="1" applyFill="1" applyBorder="1" applyProtection="1">
      <protection hidden="1"/>
    </xf>
    <xf numFmtId="0" fontId="3" fillId="35" borderId="0" xfId="84" applyFill="1" applyProtection="1">
      <protection hidden="1"/>
    </xf>
    <xf numFmtId="0" fontId="12" fillId="35" borderId="0" xfId="69" applyFont="1" applyFill="1" applyBorder="1" applyAlignment="1" applyProtection="1">
      <alignment horizontal="right"/>
      <protection hidden="1"/>
    </xf>
    <xf numFmtId="0" fontId="1" fillId="35" borderId="0" xfId="66" applyFill="1" applyBorder="1" applyAlignment="1" applyProtection="1">
      <protection hidden="1"/>
    </xf>
    <xf numFmtId="1" fontId="3" fillId="35" borderId="0" xfId="66" applyNumberFormat="1" applyFont="1" applyFill="1" applyBorder="1" applyAlignment="1" applyProtection="1">
      <protection hidden="1"/>
    </xf>
    <xf numFmtId="0" fontId="3" fillId="35" borderId="0" xfId="66" applyFont="1" applyFill="1" applyAlignment="1" applyProtection="1">
      <protection hidden="1"/>
    </xf>
    <xf numFmtId="1" fontId="3" fillId="35" borderId="0" xfId="66" applyNumberFormat="1" applyFont="1" applyFill="1" applyAlignment="1" applyProtection="1">
      <protection hidden="1"/>
    </xf>
    <xf numFmtId="0" fontId="1" fillId="35" borderId="0" xfId="66" applyFill="1" applyAlignment="1" applyProtection="1">
      <protection hidden="1"/>
    </xf>
    <xf numFmtId="2" fontId="5" fillId="35" borderId="0" xfId="82" applyNumberFormat="1" applyFont="1" applyFill="1" applyBorder="1" applyAlignment="1" applyProtection="1">
      <protection hidden="1"/>
    </xf>
    <xf numFmtId="1" fontId="12" fillId="35" borderId="0" xfId="66" applyNumberFormat="1" applyFont="1" applyFill="1" applyBorder="1" applyAlignment="1" applyProtection="1">
      <protection hidden="1"/>
    </xf>
    <xf numFmtId="0" fontId="1" fillId="35" borderId="0" xfId="69" applyFill="1" applyBorder="1" applyProtection="1">
      <protection hidden="1"/>
    </xf>
    <xf numFmtId="164" fontId="3" fillId="35" borderId="0" xfId="66" applyNumberFormat="1" applyFont="1" applyFill="1" applyBorder="1" applyProtection="1">
      <protection hidden="1"/>
    </xf>
    <xf numFmtId="0" fontId="5" fillId="37" borderId="0" xfId="66" applyFont="1" applyFill="1" applyBorder="1" applyProtection="1">
      <protection locked="0"/>
    </xf>
    <xf numFmtId="0" fontId="3" fillId="37" borderId="11" xfId="0" applyFont="1" applyFill="1" applyBorder="1" applyProtection="1">
      <protection locked="0"/>
    </xf>
    <xf numFmtId="0" fontId="3" fillId="37" borderId="16" xfId="0" applyFont="1" applyFill="1" applyBorder="1" applyProtection="1">
      <protection locked="0"/>
    </xf>
    <xf numFmtId="0" fontId="3" fillId="37" borderId="0" xfId="66" applyFont="1" applyFill="1" applyBorder="1" applyAlignment="1" applyProtection="1">
      <alignment horizontal="left"/>
      <protection locked="0"/>
    </xf>
    <xf numFmtId="0" fontId="10" fillId="37" borderId="0" xfId="69" applyFont="1" applyFill="1" applyBorder="1" applyProtection="1">
      <protection locked="0"/>
    </xf>
    <xf numFmtId="0" fontId="1" fillId="0" borderId="0" xfId="66" applyProtection="1">
      <protection hidden="1"/>
    </xf>
    <xf numFmtId="0" fontId="0" fillId="35" borderId="0" xfId="0" applyFill="1" applyAlignment="1" applyProtection="1">
      <alignment horizontal="left" vertical="top" wrapText="1" indent="1"/>
      <protection hidden="1"/>
    </xf>
    <xf numFmtId="0" fontId="23" fillId="35" borderId="0" xfId="0" applyFont="1" applyFill="1" applyBorder="1" applyAlignment="1" applyProtection="1">
      <alignment vertical="center"/>
      <protection hidden="1"/>
    </xf>
    <xf numFmtId="0" fontId="3" fillId="0" borderId="0" xfId="66" applyFont="1" applyProtection="1">
      <protection hidden="1"/>
    </xf>
    <xf numFmtId="0" fontId="3" fillId="0" borderId="0" xfId="66" applyFont="1" applyFill="1" applyProtection="1">
      <protection hidden="1"/>
    </xf>
    <xf numFmtId="0" fontId="1" fillId="35" borderId="0" xfId="66" applyFont="1" applyFill="1" applyAlignment="1" applyProtection="1">
      <protection hidden="1"/>
    </xf>
    <xf numFmtId="0" fontId="3" fillId="35" borderId="0" xfId="84" applyFill="1" applyAlignment="1" applyProtection="1">
      <protection hidden="1"/>
    </xf>
    <xf numFmtId="0" fontId="3" fillId="0" borderId="0" xfId="66" applyFont="1" applyFill="1" applyBorder="1" applyProtection="1">
      <protection hidden="1"/>
    </xf>
    <xf numFmtId="0" fontId="35" fillId="37" borderId="0" xfId="66" applyFont="1" applyFill="1" applyAlignment="1" applyProtection="1">
      <alignment horizontal="right"/>
      <protection locked="0"/>
    </xf>
    <xf numFmtId="0" fontId="35" fillId="37" borderId="0" xfId="66" applyFont="1" applyFill="1" applyBorder="1" applyAlignment="1" applyProtection="1">
      <alignment horizontal="right"/>
      <protection locked="0"/>
    </xf>
    <xf numFmtId="0" fontId="35" fillId="37" borderId="0" xfId="84" applyFont="1" applyFill="1" applyBorder="1" applyAlignment="1" applyProtection="1">
      <alignment horizontal="right"/>
      <protection locked="0"/>
    </xf>
    <xf numFmtId="0" fontId="12" fillId="35" borderId="0" xfId="69" applyFont="1" applyFill="1" applyBorder="1" applyProtection="1">
      <protection hidden="1"/>
    </xf>
    <xf numFmtId="0" fontId="58" fillId="35" borderId="0" xfId="69" applyFont="1" applyFill="1" applyBorder="1" applyProtection="1">
      <protection hidden="1"/>
    </xf>
    <xf numFmtId="0" fontId="3" fillId="0" borderId="0" xfId="66" applyFont="1" applyBorder="1" applyProtection="1">
      <protection hidden="1"/>
    </xf>
    <xf numFmtId="0" fontId="1" fillId="35" borderId="0" xfId="66" applyFont="1" applyFill="1" applyBorder="1" applyAlignment="1" applyProtection="1">
      <alignment horizontal="left"/>
      <protection hidden="1"/>
    </xf>
    <xf numFmtId="0" fontId="5" fillId="35" borderId="0" xfId="66" applyFont="1" applyFill="1" applyAlignment="1" applyProtection="1">
      <alignment vertical="center"/>
      <protection hidden="1"/>
    </xf>
    <xf numFmtId="1" fontId="43" fillId="0" borderId="0" xfId="69" applyNumberFormat="1" applyFont="1" applyFill="1" applyBorder="1" applyProtection="1">
      <protection hidden="1"/>
    </xf>
    <xf numFmtId="0" fontId="5" fillId="35" borderId="0" xfId="66" applyFont="1" applyFill="1" applyBorder="1" applyAlignment="1" applyProtection="1">
      <alignment horizontal="right"/>
      <protection hidden="1"/>
    </xf>
    <xf numFmtId="164" fontId="11" fillId="35" borderId="0" xfId="66" applyNumberFormat="1" applyFont="1" applyFill="1" applyAlignment="1" applyProtection="1">
      <protection hidden="1"/>
    </xf>
    <xf numFmtId="0" fontId="11" fillId="35" borderId="0" xfId="66" applyFont="1" applyFill="1" applyAlignment="1" applyProtection="1">
      <protection hidden="1"/>
    </xf>
    <xf numFmtId="0" fontId="45" fillId="0" borderId="0" xfId="69" applyFont="1" applyFill="1" applyBorder="1" applyAlignment="1" applyProtection="1">
      <alignment horizontal="right"/>
      <protection hidden="1"/>
    </xf>
    <xf numFmtId="0" fontId="89" fillId="35" borderId="0" xfId="73" applyFont="1" applyFill="1" applyBorder="1" applyAlignment="1" applyProtection="1">
      <protection hidden="1"/>
    </xf>
    <xf numFmtId="0" fontId="3" fillId="35" borderId="0" xfId="66" applyFont="1" applyFill="1" applyBorder="1" applyAlignment="1" applyProtection="1">
      <alignment horizontal="left"/>
      <protection hidden="1"/>
    </xf>
    <xf numFmtId="0" fontId="0" fillId="35" borderId="0" xfId="0" applyFill="1" applyProtection="1">
      <protection hidden="1"/>
    </xf>
    <xf numFmtId="164" fontId="5" fillId="35" borderId="0" xfId="69" applyNumberFormat="1" applyFont="1" applyFill="1" applyBorder="1" applyAlignment="1" applyProtection="1">
      <alignment horizontal="right"/>
      <protection hidden="1"/>
    </xf>
    <xf numFmtId="167" fontId="12" fillId="7" borderId="0" xfId="69" applyNumberFormat="1" applyFont="1" applyFill="1" applyBorder="1" applyProtection="1">
      <protection hidden="1"/>
    </xf>
    <xf numFmtId="165" fontId="3" fillId="15" borderId="0" xfId="66" applyNumberFormat="1" applyFont="1" applyFill="1" applyBorder="1" applyProtection="1">
      <protection hidden="1"/>
    </xf>
    <xf numFmtId="164" fontId="11" fillId="35" borderId="0" xfId="66" applyNumberFormat="1" applyFont="1" applyFill="1" applyBorder="1" applyProtection="1">
      <protection hidden="1"/>
    </xf>
    <xf numFmtId="167" fontId="3" fillId="15" borderId="0" xfId="66" applyNumberFormat="1" applyFont="1" applyFill="1" applyBorder="1" applyProtection="1">
      <protection hidden="1"/>
    </xf>
    <xf numFmtId="0" fontId="43" fillId="19" borderId="0" xfId="69" applyFont="1" applyFill="1" applyBorder="1" applyProtection="1">
      <protection hidden="1"/>
    </xf>
    <xf numFmtId="0" fontId="36" fillId="19" borderId="0" xfId="69" applyFont="1" applyFill="1" applyBorder="1" applyProtection="1">
      <protection hidden="1"/>
    </xf>
    <xf numFmtId="0" fontId="42" fillId="35" borderId="0" xfId="58" applyFont="1" applyFill="1" applyAlignment="1" applyProtection="1">
      <alignment wrapText="1"/>
      <protection hidden="1"/>
    </xf>
    <xf numFmtId="0" fontId="36" fillId="0" borderId="15" xfId="69" applyFont="1" applyFill="1" applyBorder="1" applyProtection="1">
      <protection hidden="1"/>
    </xf>
    <xf numFmtId="1" fontId="10" fillId="0" borderId="23" xfId="69" applyNumberFormat="1" applyFont="1" applyFill="1" applyBorder="1" applyProtection="1">
      <protection hidden="1"/>
    </xf>
    <xf numFmtId="1" fontId="10" fillId="0" borderId="0" xfId="69" applyNumberFormat="1" applyFont="1" applyFill="1" applyBorder="1" applyProtection="1">
      <protection hidden="1"/>
    </xf>
    <xf numFmtId="0" fontId="11" fillId="37" borderId="16" xfId="69" applyFont="1" applyFill="1" applyBorder="1" applyProtection="1">
      <protection locked="0"/>
    </xf>
    <xf numFmtId="164" fontId="11" fillId="37" borderId="16" xfId="69" applyNumberFormat="1" applyFont="1" applyFill="1" applyBorder="1" applyProtection="1">
      <protection locked="0"/>
    </xf>
    <xf numFmtId="164" fontId="11" fillId="37" borderId="16" xfId="84" applyNumberFormat="1" applyFont="1" applyFill="1" applyBorder="1" applyProtection="1">
      <protection locked="0"/>
    </xf>
    <xf numFmtId="164" fontId="96" fillId="35" borderId="18" xfId="66" applyNumberFormat="1" applyFont="1" applyFill="1" applyBorder="1" applyAlignment="1" applyProtection="1">
      <alignment horizontal="right"/>
      <protection hidden="1"/>
    </xf>
    <xf numFmtId="164" fontId="96" fillId="35" borderId="0" xfId="66" applyNumberFormat="1" applyFont="1" applyFill="1" applyBorder="1" applyAlignment="1" applyProtection="1">
      <alignment horizontal="right"/>
      <protection hidden="1"/>
    </xf>
    <xf numFmtId="0" fontId="102" fillId="37" borderId="0" xfId="84" applyFont="1" applyFill="1" applyBorder="1" applyAlignment="1" applyProtection="1">
      <alignment horizontal="right"/>
      <protection locked="0"/>
    </xf>
    <xf numFmtId="0" fontId="103" fillId="35" borderId="0" xfId="91" applyFont="1" applyFill="1" applyBorder="1" applyAlignment="1" applyProtection="1">
      <protection hidden="1"/>
    </xf>
    <xf numFmtId="0" fontId="105" fillId="35" borderId="0" xfId="91" applyFont="1" applyFill="1" applyBorder="1" applyAlignment="1" applyProtection="1">
      <protection hidden="1"/>
    </xf>
    <xf numFmtId="164" fontId="66" fillId="0" borderId="0" xfId="84" applyNumberFormat="1" applyFont="1" applyBorder="1" applyAlignment="1" applyProtection="1">
      <alignment horizontal="right"/>
      <protection hidden="1"/>
    </xf>
    <xf numFmtId="0" fontId="101" fillId="35" borderId="0" xfId="0" applyFont="1" applyFill="1" applyBorder="1" applyProtection="1">
      <protection hidden="1"/>
    </xf>
    <xf numFmtId="0" fontId="38" fillId="35" borderId="0" xfId="69" applyFont="1" applyFill="1" applyBorder="1" applyAlignment="1" applyProtection="1">
      <protection hidden="1"/>
    </xf>
    <xf numFmtId="2" fontId="3" fillId="35" borderId="0" xfId="66" applyNumberFormat="1" applyFont="1" applyFill="1" applyBorder="1" applyAlignment="1" applyProtection="1">
      <protection hidden="1"/>
    </xf>
    <xf numFmtId="0" fontId="54" fillId="35" borderId="0" xfId="66" applyFont="1" applyFill="1" applyBorder="1" applyAlignment="1" applyProtection="1">
      <protection hidden="1"/>
    </xf>
    <xf numFmtId="0" fontId="100" fillId="35" borderId="0" xfId="0" applyFont="1" applyFill="1" applyBorder="1" applyProtection="1">
      <protection hidden="1"/>
    </xf>
    <xf numFmtId="0" fontId="16" fillId="35" borderId="0" xfId="66" applyFont="1" applyFill="1" applyBorder="1" applyProtection="1">
      <protection hidden="1"/>
    </xf>
    <xf numFmtId="164" fontId="12" fillId="35" borderId="0" xfId="69" applyNumberFormat="1" applyFont="1" applyFill="1" applyBorder="1" applyAlignment="1" applyProtection="1">
      <alignment horizontal="right"/>
      <protection hidden="1"/>
    </xf>
    <xf numFmtId="164" fontId="12" fillId="35" borderId="0" xfId="66" applyNumberFormat="1" applyFont="1" applyFill="1" applyBorder="1" applyAlignment="1" applyProtection="1">
      <protection hidden="1"/>
    </xf>
    <xf numFmtId="164" fontId="99" fillId="35" borderId="0" xfId="69" applyNumberFormat="1" applyFont="1" applyFill="1" applyBorder="1" applyAlignment="1" applyProtection="1">
      <alignment horizontal="right"/>
      <protection hidden="1"/>
    </xf>
    <xf numFmtId="0" fontId="57" fillId="35" borderId="0" xfId="0" applyFont="1" applyFill="1" applyBorder="1" applyProtection="1">
      <protection hidden="1"/>
    </xf>
    <xf numFmtId="1" fontId="4" fillId="35" borderId="0" xfId="69" applyNumberFormat="1" applyFont="1" applyFill="1" applyBorder="1" applyAlignment="1" applyProtection="1">
      <alignment horizontal="left"/>
      <protection hidden="1"/>
    </xf>
    <xf numFmtId="0" fontId="5" fillId="35" borderId="0" xfId="86" applyFill="1" applyProtection="1">
      <protection hidden="1"/>
    </xf>
    <xf numFmtId="0" fontId="4" fillId="35" borderId="0" xfId="76" applyFont="1" applyFill="1" applyAlignment="1" applyProtection="1">
      <alignment horizontal="centerContinuous"/>
      <protection hidden="1"/>
    </xf>
    <xf numFmtId="0" fontId="5" fillId="0" borderId="0" xfId="76" applyFont="1" applyFill="1" applyAlignment="1" applyProtection="1">
      <alignment horizontal="centerContinuous"/>
      <protection hidden="1"/>
    </xf>
    <xf numFmtId="0" fontId="5" fillId="0" borderId="0" xfId="86"/>
    <xf numFmtId="0" fontId="5" fillId="35" borderId="0" xfId="76" applyFont="1" applyFill="1" applyAlignment="1" applyProtection="1">
      <alignment horizontal="centerContinuous"/>
      <protection hidden="1"/>
    </xf>
    <xf numFmtId="0" fontId="8" fillId="35" borderId="0" xfId="76" applyFont="1" applyFill="1" applyBorder="1" applyProtection="1">
      <protection hidden="1"/>
    </xf>
    <xf numFmtId="0" fontId="7" fillId="35" borderId="0" xfId="76" applyFont="1" applyFill="1" applyAlignment="1" applyProtection="1">
      <alignment horizontal="right"/>
      <protection hidden="1"/>
    </xf>
    <xf numFmtId="0" fontId="116" fillId="0" borderId="0" xfId="86" applyFont="1" applyFill="1" applyAlignment="1" applyProtection="1">
      <alignment horizontal="center"/>
      <protection hidden="1"/>
    </xf>
    <xf numFmtId="0" fontId="13" fillId="38" borderId="0" xfId="86" applyFont="1" applyFill="1" applyBorder="1" applyProtection="1">
      <protection locked="0"/>
    </xf>
    <xf numFmtId="0" fontId="13" fillId="0" borderId="0" xfId="86" applyFont="1" applyBorder="1" applyProtection="1">
      <protection locked="0"/>
    </xf>
    <xf numFmtId="0" fontId="13" fillId="0" borderId="29" xfId="86" applyFont="1" applyBorder="1" applyProtection="1">
      <protection locked="0"/>
    </xf>
    <xf numFmtId="0" fontId="13" fillId="38" borderId="29" xfId="86" applyFont="1" applyFill="1" applyBorder="1" applyProtection="1">
      <protection locked="0"/>
    </xf>
    <xf numFmtId="0" fontId="13" fillId="0" borderId="0" xfId="86" applyFont="1" applyFill="1" applyBorder="1" applyProtection="1">
      <protection hidden="1"/>
    </xf>
    <xf numFmtId="0" fontId="13" fillId="0" borderId="0" xfId="86" applyFont="1" applyFill="1" applyBorder="1" applyAlignment="1" applyProtection="1">
      <alignment horizontal="left"/>
      <protection hidden="1"/>
    </xf>
    <xf numFmtId="0" fontId="13" fillId="0" borderId="29" xfId="86" applyFont="1" applyFill="1" applyBorder="1" applyAlignment="1" applyProtection="1">
      <alignment horizontal="center"/>
      <protection hidden="1"/>
    </xf>
    <xf numFmtId="1" fontId="13" fillId="0" borderId="33" xfId="76" applyNumberFormat="1" applyFont="1" applyFill="1" applyBorder="1" applyAlignment="1" applyProtection="1">
      <alignment horizontal="center"/>
      <protection hidden="1"/>
    </xf>
    <xf numFmtId="164" fontId="13" fillId="0" borderId="33" xfId="76" applyNumberFormat="1" applyFont="1" applyFill="1" applyBorder="1" applyAlignment="1" applyProtection="1">
      <alignment horizontal="center"/>
      <protection hidden="1"/>
    </xf>
    <xf numFmtId="0" fontId="33" fillId="35" borderId="0" xfId="86" applyFont="1" applyFill="1" applyProtection="1">
      <protection hidden="1"/>
    </xf>
    <xf numFmtId="0" fontId="8" fillId="35" borderId="0" xfId="86" applyFont="1" applyFill="1" applyProtection="1">
      <protection hidden="1"/>
    </xf>
    <xf numFmtId="0" fontId="118" fillId="35" borderId="0" xfId="86" applyFont="1" applyFill="1" applyBorder="1" applyAlignment="1" applyProtection="1">
      <alignment horizontal="center"/>
      <protection hidden="1"/>
    </xf>
    <xf numFmtId="0" fontId="4" fillId="35" borderId="0" xfId="76" applyFill="1" applyProtection="1">
      <protection hidden="1"/>
    </xf>
    <xf numFmtId="164" fontId="13" fillId="35" borderId="0" xfId="76" applyNumberFormat="1" applyFont="1" applyFill="1" applyAlignment="1" applyProtection="1">
      <protection hidden="1"/>
    </xf>
    <xf numFmtId="0" fontId="8" fillId="35" borderId="0" xfId="86" applyFont="1" applyFill="1" applyAlignment="1" applyProtection="1">
      <alignment horizontal="left"/>
      <protection hidden="1"/>
    </xf>
    <xf numFmtId="0" fontId="5" fillId="0" borderId="0" xfId="86" applyFont="1" applyBorder="1" applyProtection="1">
      <protection hidden="1"/>
    </xf>
    <xf numFmtId="0" fontId="92" fillId="35" borderId="10" xfId="65" applyFont="1" applyFill="1" applyBorder="1" applyAlignment="1" applyProtection="1">
      <alignment horizontal="centerContinuous"/>
      <protection hidden="1"/>
    </xf>
    <xf numFmtId="165" fontId="92" fillId="35" borderId="11" xfId="65" applyNumberFormat="1" applyFont="1" applyFill="1" applyBorder="1" applyAlignment="1" applyProtection="1">
      <alignment horizontal="center" vertical="center" wrapText="1"/>
      <protection hidden="1"/>
    </xf>
    <xf numFmtId="164" fontId="13" fillId="35" borderId="0" xfId="76" applyNumberFormat="1" applyFont="1" applyFill="1" applyBorder="1" applyAlignment="1" applyProtection="1">
      <protection hidden="1"/>
    </xf>
    <xf numFmtId="0" fontId="5" fillId="35" borderId="0" xfId="70" applyFont="1" applyFill="1" applyProtection="1">
      <protection hidden="1"/>
    </xf>
    <xf numFmtId="0" fontId="92" fillId="35" borderId="12" xfId="65" applyFont="1" applyFill="1" applyBorder="1" applyAlignment="1" applyProtection="1">
      <alignment horizontal="center"/>
      <protection hidden="1"/>
    </xf>
    <xf numFmtId="165" fontId="92" fillId="35" borderId="12" xfId="65" applyNumberFormat="1" applyFont="1" applyFill="1" applyBorder="1" applyAlignment="1" applyProtection="1">
      <alignment horizontal="center"/>
      <protection hidden="1"/>
    </xf>
    <xf numFmtId="2" fontId="5" fillId="0" borderId="17" xfId="70" applyNumberFormat="1" applyFont="1" applyFill="1" applyBorder="1" applyAlignment="1" applyProtection="1">
      <alignment horizontal="center"/>
      <protection hidden="1"/>
    </xf>
    <xf numFmtId="164" fontId="5" fillId="0" borderId="17" xfId="70" applyNumberFormat="1" applyFont="1" applyFill="1" applyBorder="1" applyAlignment="1" applyProtection="1">
      <alignment horizontal="center"/>
      <protection hidden="1"/>
    </xf>
    <xf numFmtId="164" fontId="8" fillId="35" borderId="0" xfId="86" applyNumberFormat="1" applyFont="1" applyFill="1" applyProtection="1">
      <protection hidden="1"/>
    </xf>
    <xf numFmtId="0" fontId="117" fillId="35" borderId="0" xfId="76" applyFont="1" applyFill="1" applyProtection="1">
      <protection hidden="1"/>
    </xf>
    <xf numFmtId="0" fontId="5" fillId="0" borderId="0" xfId="86" applyFill="1" applyProtection="1">
      <protection hidden="1"/>
    </xf>
    <xf numFmtId="0" fontId="10" fillId="35" borderId="0" xfId="70" applyFont="1" applyFill="1" applyProtection="1">
      <protection hidden="1"/>
    </xf>
    <xf numFmtId="0" fontId="13" fillId="0" borderId="35" xfId="76" applyFont="1" applyFill="1" applyBorder="1" applyAlignment="1" applyProtection="1">
      <alignment horizontal="center"/>
      <protection hidden="1"/>
    </xf>
    <xf numFmtId="164" fontId="96" fillId="35" borderId="15" xfId="66" applyNumberFormat="1" applyFont="1" applyFill="1" applyBorder="1" applyAlignment="1" applyProtection="1">
      <protection hidden="1"/>
    </xf>
    <xf numFmtId="0" fontId="13" fillId="35" borderId="0" xfId="86" applyFont="1" applyFill="1" applyAlignment="1" applyProtection="1">
      <alignment horizontal="center"/>
      <protection hidden="1"/>
    </xf>
    <xf numFmtId="0" fontId="47" fillId="35" borderId="0" xfId="69" applyFont="1" applyFill="1" applyBorder="1" applyAlignment="1" applyProtection="1">
      <alignment horizontal="center" wrapText="1"/>
      <protection locked="0"/>
    </xf>
    <xf numFmtId="169" fontId="57" fillId="35" borderId="0" xfId="69" applyNumberFormat="1" applyFont="1" applyFill="1" applyBorder="1" applyAlignment="1" applyProtection="1">
      <alignment horizontal="center" wrapText="1"/>
      <protection locked="0"/>
    </xf>
    <xf numFmtId="1" fontId="47" fillId="35" borderId="0" xfId="69" applyNumberFormat="1" applyFont="1" applyFill="1" applyBorder="1" applyAlignment="1" applyProtection="1">
      <alignment horizontal="center" wrapText="1"/>
      <protection locked="0"/>
    </xf>
    <xf numFmtId="49" fontId="47" fillId="35" borderId="0" xfId="69" applyNumberFormat="1" applyFont="1" applyFill="1" applyBorder="1" applyAlignment="1" applyProtection="1">
      <alignment horizontal="center" wrapText="1"/>
      <protection locked="0"/>
    </xf>
    <xf numFmtId="0" fontId="15" fillId="35" borderId="0" xfId="69" applyFont="1" applyFill="1" applyBorder="1" applyAlignment="1" applyProtection="1">
      <alignment horizontal="center" vertical="center"/>
      <protection locked="0"/>
    </xf>
    <xf numFmtId="0" fontId="47" fillId="35" borderId="0" xfId="69" applyFont="1" applyFill="1" applyBorder="1" applyAlignment="1" applyProtection="1">
      <alignment horizontal="center"/>
      <protection locked="0"/>
    </xf>
    <xf numFmtId="49" fontId="47" fillId="35" borderId="0" xfId="69" applyNumberFormat="1" applyFont="1" applyFill="1" applyBorder="1" applyAlignment="1" applyProtection="1">
      <alignment horizontal="left"/>
      <protection locked="0"/>
    </xf>
    <xf numFmtId="49" fontId="47" fillId="35" borderId="0" xfId="69" applyNumberFormat="1" applyFont="1" applyFill="1" applyBorder="1" applyAlignment="1" applyProtection="1">
      <alignment horizontal="center"/>
      <protection locked="0"/>
    </xf>
    <xf numFmtId="0" fontId="1" fillId="35" borderId="0" xfId="0" applyFont="1" applyFill="1" applyProtection="1">
      <protection hidden="1"/>
    </xf>
    <xf numFmtId="1" fontId="3" fillId="37" borderId="0" xfId="69" applyNumberFormat="1" applyFont="1" applyFill="1" applyBorder="1" applyProtection="1">
      <protection locked="0"/>
    </xf>
    <xf numFmtId="0" fontId="1" fillId="35" borderId="0" xfId="66" applyFont="1" applyFill="1" applyBorder="1" applyProtection="1">
      <protection hidden="1"/>
    </xf>
    <xf numFmtId="0" fontId="3" fillId="35" borderId="0" xfId="66" applyFont="1" applyFill="1" applyProtection="1">
      <protection hidden="1"/>
    </xf>
    <xf numFmtId="1" fontId="15" fillId="35" borderId="0" xfId="66" applyNumberFormat="1" applyFont="1" applyFill="1" applyBorder="1" applyProtection="1">
      <protection hidden="1"/>
    </xf>
    <xf numFmtId="0" fontId="1" fillId="0" borderId="0" xfId="66" applyFill="1" applyProtection="1">
      <protection hidden="1"/>
    </xf>
    <xf numFmtId="0" fontId="1" fillId="0" borderId="0" xfId="66" applyFont="1" applyFill="1" applyProtection="1">
      <protection hidden="1"/>
    </xf>
    <xf numFmtId="0" fontId="1" fillId="0" borderId="0" xfId="66" applyFont="1" applyProtection="1">
      <protection hidden="1"/>
    </xf>
    <xf numFmtId="0" fontId="23" fillId="0" borderId="0" xfId="66" applyFont="1" applyFill="1" applyProtection="1">
      <protection hidden="1"/>
    </xf>
    <xf numFmtId="0" fontId="15" fillId="35" borderId="0" xfId="66" applyFont="1" applyFill="1" applyBorder="1" applyAlignment="1" applyProtection="1">
      <alignment horizontal="left"/>
      <protection hidden="1"/>
    </xf>
    <xf numFmtId="49" fontId="33" fillId="36" borderId="0" xfId="66" applyNumberFormat="1" applyFont="1" applyFill="1" applyAlignment="1" applyProtection="1">
      <alignment vertical="center"/>
      <protection hidden="1"/>
    </xf>
    <xf numFmtId="0" fontId="33" fillId="36" borderId="0" xfId="66" applyFont="1" applyFill="1" applyAlignment="1" applyProtection="1">
      <alignment vertical="center"/>
      <protection hidden="1"/>
    </xf>
    <xf numFmtId="0" fontId="1" fillId="35" borderId="0" xfId="66" applyFont="1" applyFill="1" applyProtection="1">
      <protection hidden="1"/>
    </xf>
    <xf numFmtId="49" fontId="33" fillId="35" borderId="0" xfId="66" applyNumberFormat="1" applyFont="1" applyFill="1" applyAlignment="1" applyProtection="1">
      <alignment vertical="center"/>
      <protection hidden="1"/>
    </xf>
    <xf numFmtId="0" fontId="33" fillId="35" borderId="0" xfId="66" applyFont="1" applyFill="1" applyAlignment="1" applyProtection="1">
      <alignment vertical="center"/>
      <protection hidden="1"/>
    </xf>
    <xf numFmtId="0" fontId="11" fillId="0" borderId="0" xfId="66" applyFont="1" applyFill="1" applyAlignment="1" applyProtection="1">
      <protection hidden="1"/>
    </xf>
    <xf numFmtId="164" fontId="3" fillId="0" borderId="0" xfId="66" applyNumberFormat="1" applyFont="1" applyFill="1" applyBorder="1" applyProtection="1">
      <protection hidden="1"/>
    </xf>
    <xf numFmtId="0" fontId="13" fillId="35" borderId="0" xfId="86" applyFont="1" applyFill="1" applyAlignment="1" applyProtection="1">
      <alignment horizontal="left"/>
      <protection hidden="1"/>
    </xf>
    <xf numFmtId="164" fontId="12" fillId="35" borderId="18" xfId="69" applyNumberFormat="1" applyFont="1" applyFill="1" applyBorder="1" applyAlignment="1" applyProtection="1">
      <alignment horizontal="right"/>
      <protection hidden="1"/>
    </xf>
    <xf numFmtId="0" fontId="107" fillId="0" borderId="0" xfId="66" applyFont="1" applyFill="1" applyBorder="1" applyProtection="1">
      <protection hidden="1"/>
    </xf>
    <xf numFmtId="0" fontId="142" fillId="0" borderId="0" xfId="66" applyFont="1" applyFill="1" applyBorder="1" applyProtection="1">
      <protection hidden="1"/>
    </xf>
    <xf numFmtId="0" fontId="138" fillId="35" borderId="0" xfId="83" applyFont="1" applyFill="1" applyBorder="1" applyAlignment="1" applyProtection="1">
      <alignment horizontal="right"/>
      <protection hidden="1"/>
    </xf>
    <xf numFmtId="0" fontId="130" fillId="35" borderId="0" xfId="81" applyFill="1" applyProtection="1"/>
    <xf numFmtId="0" fontId="136" fillId="35" borderId="0" xfId="81" applyFont="1" applyFill="1" applyAlignment="1" applyProtection="1">
      <protection hidden="1"/>
    </xf>
    <xf numFmtId="0" fontId="136" fillId="35" borderId="0" xfId="81" applyFont="1" applyFill="1" applyAlignment="1" applyProtection="1">
      <alignment horizontal="left"/>
      <protection hidden="1"/>
    </xf>
    <xf numFmtId="0" fontId="130" fillId="35" borderId="0" xfId="81" applyFill="1" applyAlignment="1" applyProtection="1">
      <protection hidden="1"/>
    </xf>
    <xf numFmtId="1" fontId="136" fillId="35" borderId="0" xfId="81" applyNumberFormat="1" applyFont="1" applyFill="1" applyAlignment="1" applyProtection="1">
      <protection hidden="1"/>
    </xf>
    <xf numFmtId="0" fontId="130" fillId="35" borderId="0" xfId="81" applyFill="1" applyAlignment="1" applyProtection="1">
      <protection locked="0"/>
    </xf>
    <xf numFmtId="0" fontId="136" fillId="35" borderId="0" xfId="81" applyFont="1" applyFill="1"/>
    <xf numFmtId="0" fontId="136" fillId="0" borderId="0" xfId="81" applyFont="1"/>
    <xf numFmtId="0" fontId="136" fillId="35" borderId="0" xfId="81" applyFont="1" applyFill="1" applyProtection="1">
      <protection hidden="1"/>
    </xf>
    <xf numFmtId="1" fontId="136" fillId="35" borderId="0" xfId="81" applyNumberFormat="1" applyFont="1" applyFill="1" applyProtection="1">
      <protection hidden="1"/>
    </xf>
    <xf numFmtId="0" fontId="130" fillId="35" borderId="0" xfId="81" applyFill="1" applyProtection="1">
      <protection hidden="1"/>
    </xf>
    <xf numFmtId="0" fontId="130" fillId="0" borderId="0" xfId="81"/>
    <xf numFmtId="0" fontId="130" fillId="35" borderId="0" xfId="81" applyFill="1"/>
    <xf numFmtId="0" fontId="136" fillId="35" borderId="0" xfId="81" applyFont="1" applyFill="1" applyBorder="1"/>
    <xf numFmtId="0" fontId="130" fillId="35" borderId="0" xfId="81" applyFill="1" applyBorder="1"/>
    <xf numFmtId="0" fontId="138" fillId="35" borderId="0" xfId="81" applyFont="1" applyFill="1" applyBorder="1" applyAlignment="1" applyProtection="1">
      <alignment horizontal="right"/>
      <protection hidden="1"/>
    </xf>
    <xf numFmtId="0" fontId="138" fillId="35" borderId="0" xfId="81" applyFont="1" applyFill="1" applyBorder="1" applyAlignment="1" applyProtection="1">
      <alignment horizontal="left"/>
      <protection hidden="1"/>
    </xf>
    <xf numFmtId="0" fontId="139" fillId="35" borderId="0" xfId="52" applyFont="1" applyFill="1" applyAlignment="1" applyProtection="1">
      <alignment horizontal="left"/>
      <protection hidden="1"/>
    </xf>
    <xf numFmtId="0" fontId="139" fillId="35" borderId="0" xfId="52" applyFont="1" applyFill="1" applyBorder="1" applyAlignment="1" applyProtection="1">
      <alignment horizontal="left"/>
      <protection hidden="1"/>
    </xf>
    <xf numFmtId="0" fontId="11" fillId="0" borderId="13" xfId="67" applyFont="1" applyFill="1" applyBorder="1" applyAlignment="1" applyProtection="1">
      <alignment horizontal="right"/>
      <protection hidden="1"/>
    </xf>
    <xf numFmtId="0" fontId="1" fillId="35" borderId="0" xfId="69" applyFill="1" applyBorder="1" applyAlignment="1" applyProtection="1">
      <protection hidden="1"/>
    </xf>
    <xf numFmtId="0" fontId="90" fillId="35" borderId="0" xfId="87" applyNumberFormat="1" applyFont="1" applyFill="1" applyBorder="1" applyAlignment="1" applyProtection="1">
      <alignment horizontal="center"/>
      <protection hidden="1"/>
    </xf>
    <xf numFmtId="0" fontId="3" fillId="0" borderId="0" xfId="69" applyFont="1" applyFill="1" applyBorder="1" applyAlignment="1" applyProtection="1">
      <alignment horizontal="center"/>
      <protection hidden="1"/>
    </xf>
    <xf numFmtId="164" fontId="3" fillId="0" borderId="0" xfId="69" applyNumberFormat="1" applyFont="1" applyFill="1" applyBorder="1" applyAlignment="1" applyProtection="1">
      <alignment horizontal="center"/>
      <protection hidden="1"/>
    </xf>
    <xf numFmtId="2" fontId="3" fillId="0" borderId="0" xfId="69" applyNumberFormat="1" applyFont="1" applyFill="1" applyBorder="1" applyAlignment="1" applyProtection="1">
      <alignment horizontal="center"/>
      <protection hidden="1"/>
    </xf>
    <xf numFmtId="4" fontId="3" fillId="35" borderId="0" xfId="69" applyNumberFormat="1" applyFont="1" applyFill="1" applyBorder="1" applyAlignment="1" applyProtection="1">
      <alignment horizontal="center"/>
      <protection hidden="1"/>
    </xf>
    <xf numFmtId="2" fontId="104" fillId="37" borderId="0" xfId="84" applyNumberFormat="1" applyFont="1" applyFill="1" applyBorder="1" applyAlignment="1" applyProtection="1">
      <protection locked="0"/>
    </xf>
    <xf numFmtId="1" fontId="88" fillId="37" borderId="0" xfId="84" applyNumberFormat="1" applyFont="1" applyFill="1" applyBorder="1" applyAlignment="1" applyProtection="1">
      <protection locked="0"/>
    </xf>
    <xf numFmtId="1" fontId="66" fillId="35" borderId="0" xfId="0" applyNumberFormat="1" applyFont="1" applyFill="1" applyBorder="1" applyAlignment="1" applyProtection="1">
      <protection hidden="1"/>
    </xf>
    <xf numFmtId="1" fontId="96" fillId="35" borderId="0" xfId="0" applyNumberFormat="1" applyFont="1" applyFill="1" applyBorder="1" applyAlignment="1" applyProtection="1">
      <protection hidden="1"/>
    </xf>
    <xf numFmtId="164" fontId="107" fillId="35" borderId="0" xfId="0" applyNumberFormat="1" applyFont="1" applyFill="1" applyBorder="1" applyAlignment="1" applyProtection="1">
      <protection hidden="1"/>
    </xf>
    <xf numFmtId="164" fontId="66" fillId="35" borderId="0" xfId="0" applyNumberFormat="1" applyFont="1" applyFill="1" applyBorder="1" applyAlignment="1" applyProtection="1">
      <protection hidden="1"/>
    </xf>
    <xf numFmtId="164" fontId="96" fillId="35" borderId="0" xfId="0" applyNumberFormat="1" applyFont="1" applyFill="1" applyBorder="1" applyAlignment="1" applyProtection="1">
      <protection hidden="1"/>
    </xf>
    <xf numFmtId="0" fontId="5" fillId="0" borderId="22" xfId="66" applyFont="1" applyFill="1" applyBorder="1" applyAlignment="1" applyProtection="1">
      <protection hidden="1"/>
    </xf>
    <xf numFmtId="1" fontId="3" fillId="0" borderId="16" xfId="66" applyNumberFormat="1" applyFont="1" applyFill="1" applyBorder="1" applyAlignment="1" applyProtection="1">
      <protection hidden="1"/>
    </xf>
    <xf numFmtId="1" fontId="3" fillId="0" borderId="13" xfId="66" applyNumberFormat="1" applyFont="1" applyFill="1" applyBorder="1" applyAlignment="1" applyProtection="1">
      <protection hidden="1"/>
    </xf>
    <xf numFmtId="0" fontId="35" fillId="37" borderId="0" xfId="69" applyFont="1" applyFill="1" applyBorder="1" applyAlignment="1" applyProtection="1">
      <alignment horizontal="right"/>
      <protection locked="0"/>
    </xf>
    <xf numFmtId="0" fontId="13" fillId="38" borderId="0" xfId="86" applyFont="1" applyFill="1" applyBorder="1" applyAlignment="1" applyProtection="1">
      <protection locked="0"/>
    </xf>
    <xf numFmtId="0" fontId="13" fillId="0" borderId="0" xfId="86" applyFont="1" applyBorder="1" applyAlignment="1" applyProtection="1">
      <protection locked="0"/>
    </xf>
    <xf numFmtId="0" fontId="13" fillId="0" borderId="29" xfId="86" applyFont="1" applyBorder="1" applyAlignment="1" applyProtection="1">
      <protection locked="0"/>
    </xf>
    <xf numFmtId="165" fontId="13" fillId="0" borderId="0" xfId="86" applyNumberFormat="1" applyFont="1" applyBorder="1" applyAlignment="1" applyProtection="1">
      <protection locked="0"/>
    </xf>
    <xf numFmtId="0" fontId="13" fillId="38" borderId="29" xfId="86" applyFont="1" applyFill="1" applyBorder="1" applyAlignment="1" applyProtection="1">
      <protection locked="0"/>
    </xf>
    <xf numFmtId="0" fontId="13" fillId="0" borderId="29" xfId="86" applyFont="1" applyFill="1" applyBorder="1" applyAlignment="1" applyProtection="1">
      <protection hidden="1"/>
    </xf>
    <xf numFmtId="1" fontId="13" fillId="0" borderId="0" xfId="86" applyNumberFormat="1" applyFont="1" applyFill="1" applyBorder="1" applyAlignment="1" applyProtection="1">
      <protection hidden="1"/>
    </xf>
    <xf numFmtId="0" fontId="13" fillId="0" borderId="0" xfId="86" applyFont="1" applyFill="1" applyBorder="1" applyAlignment="1" applyProtection="1">
      <protection hidden="1"/>
    </xf>
    <xf numFmtId="0" fontId="13" fillId="0" borderId="31" xfId="86" applyFont="1" applyBorder="1" applyAlignment="1" applyProtection="1">
      <protection locked="0"/>
    </xf>
    <xf numFmtId="0" fontId="13" fillId="0" borderId="32" xfId="86" applyFont="1" applyBorder="1" applyAlignment="1" applyProtection="1">
      <protection locked="0"/>
    </xf>
    <xf numFmtId="164" fontId="66" fillId="35" borderId="0" xfId="84" applyNumberFormat="1" applyFont="1" applyFill="1" applyBorder="1" applyAlignment="1" applyProtection="1">
      <alignment horizontal="right"/>
      <protection hidden="1"/>
    </xf>
    <xf numFmtId="164" fontId="96" fillId="35" borderId="0" xfId="84" applyNumberFormat="1" applyFont="1" applyFill="1" applyBorder="1" applyAlignment="1" applyProtection="1">
      <alignment horizontal="right"/>
      <protection hidden="1"/>
    </xf>
    <xf numFmtId="0" fontId="25" fillId="35" borderId="0" xfId="46" applyFont="1" applyFill="1" applyBorder="1" applyAlignment="1" applyProtection="1">
      <alignment horizontal="right"/>
      <protection hidden="1"/>
    </xf>
    <xf numFmtId="164" fontId="13" fillId="0" borderId="15" xfId="69" applyNumberFormat="1" applyFont="1" applyBorder="1" applyAlignment="1" applyProtection="1">
      <protection hidden="1"/>
    </xf>
    <xf numFmtId="164" fontId="37" fillId="0" borderId="0" xfId="69" applyNumberFormat="1" applyFont="1" applyFill="1" applyBorder="1" applyAlignment="1" applyProtection="1">
      <alignment horizontal="right"/>
      <protection hidden="1"/>
    </xf>
    <xf numFmtId="164" fontId="37" fillId="0" borderId="0" xfId="69" applyNumberFormat="1" applyFont="1" applyBorder="1" applyAlignment="1" applyProtection="1">
      <alignment horizontal="right"/>
      <protection hidden="1"/>
    </xf>
    <xf numFmtId="0" fontId="22" fillId="0" borderId="0" xfId="0" applyFont="1" applyBorder="1" applyProtection="1">
      <protection hidden="1"/>
    </xf>
    <xf numFmtId="0" fontId="131" fillId="37" borderId="0" xfId="0" applyFont="1" applyFill="1" applyProtection="1">
      <protection locked="0"/>
    </xf>
    <xf numFmtId="0" fontId="3" fillId="0" borderId="0" xfId="0" applyFont="1"/>
    <xf numFmtId="0" fontId="3" fillId="0" borderId="0" xfId="89" applyFont="1"/>
    <xf numFmtId="0" fontId="3" fillId="0" borderId="0" xfId="81" applyFont="1"/>
    <xf numFmtId="0" fontId="134" fillId="35" borderId="0" xfId="89" applyNumberFormat="1" applyFont="1" applyFill="1" applyProtection="1">
      <protection hidden="1"/>
    </xf>
    <xf numFmtId="0" fontId="136" fillId="0" borderId="0" xfId="81" applyNumberFormat="1" applyFont="1" applyProtection="1">
      <protection hidden="1"/>
    </xf>
    <xf numFmtId="0" fontId="130" fillId="35" borderId="0" xfId="81" applyNumberFormat="1" applyFill="1" applyProtection="1">
      <protection hidden="1"/>
    </xf>
    <xf numFmtId="0" fontId="137" fillId="35" borderId="0" xfId="52" applyNumberFormat="1" applyFont="1" applyFill="1" applyAlignment="1" applyProtection="1">
      <alignment horizontal="right"/>
      <protection hidden="1"/>
    </xf>
    <xf numFmtId="0" fontId="30" fillId="35" borderId="0" xfId="81" applyNumberFormat="1" applyFont="1" applyFill="1" applyAlignment="1" applyProtection="1">
      <alignment horizontal="center" vertical="center" wrapText="1"/>
      <protection hidden="1"/>
    </xf>
    <xf numFmtId="0" fontId="127" fillId="35" borderId="0" xfId="80" applyNumberFormat="1" applyFont="1" applyFill="1" applyAlignment="1" applyProtection="1">
      <alignment horizontal="center"/>
      <protection hidden="1"/>
    </xf>
    <xf numFmtId="0" fontId="140" fillId="35" borderId="0" xfId="67" applyNumberFormat="1" applyFont="1" applyFill="1" applyBorder="1" applyAlignment="1" applyProtection="1">
      <alignment horizontal="center"/>
      <protection hidden="1"/>
    </xf>
    <xf numFmtId="0" fontId="130" fillId="35" borderId="0" xfId="89" applyNumberFormat="1" applyFill="1" applyProtection="1">
      <protection hidden="1"/>
    </xf>
    <xf numFmtId="0" fontId="136" fillId="35" borderId="0" xfId="80" applyNumberFormat="1" applyFont="1" applyFill="1" applyProtection="1">
      <protection hidden="1"/>
    </xf>
    <xf numFmtId="0" fontId="136" fillId="35" borderId="0" xfId="81" applyNumberFormat="1" applyFont="1" applyFill="1" applyAlignment="1" applyProtection="1">
      <alignment vertical="center"/>
      <protection hidden="1"/>
    </xf>
    <xf numFmtId="0" fontId="131" fillId="35" borderId="0" xfId="81" applyNumberFormat="1" applyFont="1" applyFill="1" applyProtection="1">
      <protection hidden="1"/>
    </xf>
    <xf numFmtId="0" fontId="136" fillId="35" borderId="0" xfId="81" applyNumberFormat="1" applyFont="1" applyFill="1" applyAlignment="1" applyProtection="1">
      <alignment vertical="center" wrapText="1"/>
      <protection hidden="1"/>
    </xf>
    <xf numFmtId="0" fontId="130" fillId="35" borderId="0" xfId="81" applyNumberFormat="1" applyFill="1" applyAlignment="1" applyProtection="1">
      <protection hidden="1"/>
    </xf>
    <xf numFmtId="0" fontId="85" fillId="42" borderId="0" xfId="0" applyFont="1" applyFill="1" applyProtection="1">
      <protection hidden="1"/>
    </xf>
    <xf numFmtId="0" fontId="85" fillId="35" borderId="0" xfId="67" applyFont="1" applyFill="1" applyProtection="1">
      <protection hidden="1"/>
    </xf>
    <xf numFmtId="0" fontId="152" fillId="42" borderId="0" xfId="0" applyFont="1" applyFill="1" applyAlignment="1" applyProtection="1">
      <alignment horizontal="center"/>
      <protection hidden="1"/>
    </xf>
    <xf numFmtId="0" fontId="47" fillId="42" borderId="0" xfId="63" applyFont="1" applyFill="1" applyAlignment="1" applyProtection="1">
      <alignment horizontal="center"/>
      <protection hidden="1"/>
    </xf>
    <xf numFmtId="0" fontId="85" fillId="0" borderId="0" xfId="0" applyFont="1"/>
    <xf numFmtId="0" fontId="85" fillId="42" borderId="0" xfId="67" applyFont="1" applyFill="1" applyProtection="1">
      <protection hidden="1"/>
    </xf>
    <xf numFmtId="0" fontId="85" fillId="43" borderId="0" xfId="67" applyFont="1" applyFill="1" applyProtection="1">
      <protection hidden="1"/>
    </xf>
    <xf numFmtId="0" fontId="55" fillId="42" borderId="0" xfId="46" applyFont="1" applyFill="1" applyAlignment="1" applyProtection="1">
      <alignment horizontal="right"/>
      <protection hidden="1"/>
    </xf>
    <xf numFmtId="0" fontId="154" fillId="42" borderId="0" xfId="63" applyFont="1" applyFill="1" applyAlignment="1" applyProtection="1">
      <alignment horizontal="left"/>
      <protection hidden="1"/>
    </xf>
    <xf numFmtId="0" fontId="60" fillId="42" borderId="0" xfId="67" applyFont="1" applyFill="1" applyProtection="1">
      <protection hidden="1"/>
    </xf>
    <xf numFmtId="0" fontId="47" fillId="42" borderId="17" xfId="67" applyFont="1" applyFill="1" applyBorder="1" applyAlignment="1" applyProtection="1">
      <alignment horizontal="center"/>
      <protection hidden="1"/>
    </xf>
    <xf numFmtId="2" fontId="13" fillId="42" borderId="0" xfId="67" applyNumberFormat="1" applyFont="1" applyFill="1" applyAlignment="1" applyProtection="1">
      <alignment horizontal="left" wrapText="1"/>
      <protection hidden="1"/>
    </xf>
    <xf numFmtId="2" fontId="47" fillId="42" borderId="17" xfId="67" applyNumberFormat="1" applyFont="1" applyFill="1" applyBorder="1" applyAlignment="1" applyProtection="1">
      <alignment horizontal="center"/>
      <protection hidden="1"/>
    </xf>
    <xf numFmtId="0" fontId="47" fillId="44" borderId="17" xfId="67" applyFont="1" applyFill="1" applyBorder="1" applyAlignment="1" applyProtection="1">
      <alignment horizontal="center"/>
      <protection locked="0"/>
    </xf>
    <xf numFmtId="2" fontId="13" fillId="42" borderId="0" xfId="67" applyNumberFormat="1" applyFont="1" applyFill="1" applyAlignment="1" applyProtection="1">
      <alignment wrapText="1"/>
      <protection hidden="1"/>
    </xf>
    <xf numFmtId="0" fontId="47" fillId="42" borderId="0" xfId="67" applyFont="1" applyFill="1" applyAlignment="1" applyProtection="1">
      <protection hidden="1"/>
    </xf>
    <xf numFmtId="0" fontId="85" fillId="42" borderId="0" xfId="67" applyFont="1" applyFill="1" applyAlignment="1" applyProtection="1">
      <protection hidden="1"/>
    </xf>
    <xf numFmtId="0" fontId="13" fillId="42" borderId="0" xfId="67" applyFont="1" applyFill="1" applyProtection="1">
      <protection hidden="1"/>
    </xf>
    <xf numFmtId="165" fontId="47" fillId="42" borderId="17" xfId="67" applyNumberFormat="1" applyFont="1" applyFill="1" applyBorder="1" applyAlignment="1" applyProtection="1">
      <alignment horizontal="center"/>
      <protection hidden="1"/>
    </xf>
    <xf numFmtId="164" fontId="43" fillId="42" borderId="0" xfId="67" applyNumberFormat="1" applyFont="1" applyFill="1" applyProtection="1">
      <protection hidden="1"/>
    </xf>
    <xf numFmtId="0" fontId="47" fillId="37" borderId="17" xfId="0" applyFont="1" applyFill="1" applyBorder="1" applyAlignment="1" applyProtection="1">
      <alignment horizontal="center"/>
      <protection locked="0"/>
    </xf>
    <xf numFmtId="2" fontId="47" fillId="0" borderId="19" xfId="0" applyNumberFormat="1" applyFont="1" applyBorder="1" applyAlignment="1" applyProtection="1">
      <alignment horizontal="center"/>
      <protection hidden="1"/>
    </xf>
    <xf numFmtId="0" fontId="85" fillId="0" borderId="0" xfId="67" applyFont="1" applyProtection="1">
      <protection hidden="1"/>
    </xf>
    <xf numFmtId="165" fontId="47" fillId="0" borderId="17" xfId="0" applyNumberFormat="1" applyFont="1" applyBorder="1" applyAlignment="1" applyProtection="1">
      <alignment horizontal="center"/>
      <protection hidden="1"/>
    </xf>
    <xf numFmtId="0" fontId="149" fillId="42" borderId="0" xfId="0" applyFont="1" applyFill="1" applyAlignment="1" applyProtection="1">
      <alignment horizontal="center"/>
      <protection hidden="1"/>
    </xf>
    <xf numFmtId="0" fontId="47" fillId="44" borderId="17" xfId="0" applyFont="1" applyFill="1" applyBorder="1" applyAlignment="1" applyProtection="1">
      <alignment horizontal="center"/>
      <protection locked="0"/>
    </xf>
    <xf numFmtId="0" fontId="85" fillId="0" borderId="0" xfId="67" applyFont="1"/>
    <xf numFmtId="0" fontId="47" fillId="45" borderId="17" xfId="0" applyFont="1" applyFill="1" applyBorder="1" applyAlignment="1" applyProtection="1">
      <alignment horizontal="center"/>
      <protection hidden="1"/>
    </xf>
    <xf numFmtId="0" fontId="85" fillId="45" borderId="0" xfId="0" applyFont="1" applyFill="1" applyProtection="1">
      <protection hidden="1"/>
    </xf>
    <xf numFmtId="173" fontId="47" fillId="0" borderId="17" xfId="0" applyNumberFormat="1" applyFont="1" applyBorder="1" applyAlignment="1" applyProtection="1">
      <alignment horizontal="center"/>
      <protection hidden="1"/>
    </xf>
    <xf numFmtId="2" fontId="47" fillId="45" borderId="17" xfId="0" applyNumberFormat="1" applyFont="1" applyFill="1" applyBorder="1" applyAlignment="1" applyProtection="1">
      <alignment horizontal="center"/>
      <protection hidden="1"/>
    </xf>
    <xf numFmtId="0" fontId="157" fillId="42" borderId="0" xfId="63" applyFont="1" applyFill="1" applyAlignment="1" applyProtection="1">
      <alignment horizontal="left"/>
      <protection hidden="1"/>
    </xf>
    <xf numFmtId="0" fontId="47" fillId="42" borderId="38" xfId="0" applyFont="1" applyFill="1" applyBorder="1" applyAlignment="1" applyProtection="1">
      <alignment horizontal="center"/>
      <protection hidden="1"/>
    </xf>
    <xf numFmtId="0" fontId="47" fillId="42" borderId="39" xfId="0" applyFont="1" applyFill="1" applyBorder="1" applyAlignment="1" applyProtection="1">
      <alignment horizontal="center"/>
      <protection hidden="1"/>
    </xf>
    <xf numFmtId="0" fontId="47" fillId="42" borderId="40" xfId="0" applyFont="1" applyFill="1" applyBorder="1" applyAlignment="1" applyProtection="1">
      <alignment horizontal="center"/>
      <protection hidden="1"/>
    </xf>
    <xf numFmtId="164" fontId="47" fillId="42" borderId="42" xfId="0" applyNumberFormat="1" applyFont="1" applyFill="1" applyBorder="1" applyAlignment="1" applyProtection="1">
      <alignment horizontal="center"/>
      <protection hidden="1"/>
    </xf>
    <xf numFmtId="0" fontId="47" fillId="42" borderId="11" xfId="67" applyFont="1" applyFill="1" applyBorder="1" applyAlignment="1" applyProtection="1">
      <alignment horizontal="center"/>
      <protection hidden="1"/>
    </xf>
    <xf numFmtId="0" fontId="47" fillId="42" borderId="0" xfId="0" applyFont="1" applyFill="1" applyAlignment="1" applyProtection="1">
      <alignment horizontal="center"/>
      <protection hidden="1"/>
    </xf>
    <xf numFmtId="0" fontId="47" fillId="35" borderId="0" xfId="0" applyFont="1" applyFill="1" applyAlignment="1" applyProtection="1">
      <alignment horizontal="center"/>
      <protection hidden="1"/>
    </xf>
    <xf numFmtId="0" fontId="47" fillId="43" borderId="0" xfId="67" applyFont="1" applyFill="1" applyProtection="1">
      <protection hidden="1"/>
    </xf>
    <xf numFmtId="0" fontId="47" fillId="35" borderId="0" xfId="67" applyFont="1" applyFill="1" applyProtection="1">
      <protection hidden="1"/>
    </xf>
    <xf numFmtId="0" fontId="47" fillId="42" borderId="0" xfId="67" applyFont="1" applyFill="1" applyAlignment="1" applyProtection="1">
      <alignment horizontal="left" vertical="top" wrapText="1"/>
      <protection hidden="1"/>
    </xf>
    <xf numFmtId="164" fontId="47" fillId="0" borderId="17" xfId="0" applyNumberFormat="1" applyFont="1" applyBorder="1" applyAlignment="1" applyProtection="1">
      <alignment horizontal="center"/>
      <protection hidden="1"/>
    </xf>
    <xf numFmtId="0" fontId="154" fillId="42" borderId="0" xfId="67" applyFont="1" applyFill="1" applyAlignment="1" applyProtection="1">
      <alignment horizontal="right"/>
      <protection hidden="1"/>
    </xf>
    <xf numFmtId="2" fontId="47" fillId="0" borderId="11" xfId="0" applyNumberFormat="1" applyFont="1" applyBorder="1" applyAlignment="1" applyProtection="1">
      <alignment horizontal="center"/>
      <protection hidden="1"/>
    </xf>
    <xf numFmtId="4" fontId="47" fillId="0" borderId="16" xfId="0" applyNumberFormat="1" applyFont="1" applyBorder="1" applyAlignment="1" applyProtection="1">
      <alignment horizontal="center"/>
      <protection hidden="1"/>
    </xf>
    <xf numFmtId="0" fontId="61" fillId="42" borderId="0" xfId="67" applyFont="1" applyFill="1" applyAlignment="1" applyProtection="1">
      <alignment horizontal="left" vertical="center" wrapText="1"/>
      <protection hidden="1"/>
    </xf>
    <xf numFmtId="164" fontId="47" fillId="0" borderId="17" xfId="67" applyNumberFormat="1" applyFont="1" applyBorder="1" applyAlignment="1" applyProtection="1">
      <alignment horizontal="center"/>
      <protection hidden="1"/>
    </xf>
    <xf numFmtId="164" fontId="47" fillId="0" borderId="12" xfId="67" applyNumberFormat="1" applyFont="1" applyBorder="1" applyAlignment="1" applyProtection="1">
      <alignment horizontal="center"/>
      <protection hidden="1"/>
    </xf>
    <xf numFmtId="0" fontId="47" fillId="44" borderId="21" xfId="67" applyFont="1" applyFill="1" applyBorder="1" applyAlignment="1" applyProtection="1">
      <alignment horizontal="center"/>
      <protection locked="0"/>
    </xf>
    <xf numFmtId="0" fontId="47" fillId="46" borderId="0" xfId="67" applyFont="1" applyFill="1" applyProtection="1">
      <protection hidden="1"/>
    </xf>
    <xf numFmtId="0" fontId="11" fillId="42" borderId="0" xfId="67" applyFont="1" applyFill="1" applyProtection="1">
      <protection hidden="1"/>
    </xf>
    <xf numFmtId="0" fontId="146" fillId="42" borderId="15" xfId="67" applyFont="1" applyFill="1" applyBorder="1" applyAlignment="1" applyProtection="1">
      <alignment horizontal="right"/>
      <protection hidden="1"/>
    </xf>
    <xf numFmtId="164" fontId="47" fillId="0" borderId="21" xfId="67" applyNumberFormat="1" applyFont="1" applyBorder="1" applyAlignment="1" applyProtection="1">
      <alignment horizontal="center"/>
      <protection hidden="1"/>
    </xf>
    <xf numFmtId="0" fontId="148" fillId="42" borderId="0" xfId="67" applyFont="1" applyFill="1" applyAlignment="1" applyProtection="1">
      <alignment horizontal="right"/>
      <protection hidden="1"/>
    </xf>
    <xf numFmtId="2" fontId="140" fillId="42" borderId="17" xfId="67" applyNumberFormat="1" applyFont="1" applyFill="1" applyBorder="1" applyAlignment="1" applyProtection="1">
      <alignment horizontal="center"/>
      <protection hidden="1"/>
    </xf>
    <xf numFmtId="0" fontId="47" fillId="0" borderId="0" xfId="67" applyFont="1" applyProtection="1">
      <protection hidden="1"/>
    </xf>
    <xf numFmtId="2" fontId="47" fillId="42" borderId="0" xfId="0" applyNumberFormat="1" applyFont="1" applyFill="1" applyBorder="1" applyAlignment="1" applyProtection="1">
      <protection hidden="1"/>
    </xf>
    <xf numFmtId="0" fontId="85" fillId="35" borderId="0" xfId="67" applyFont="1" applyFill="1" applyAlignment="1" applyProtection="1">
      <protection hidden="1"/>
    </xf>
    <xf numFmtId="0" fontId="47" fillId="42" borderId="10" xfId="0" applyFont="1" applyFill="1" applyBorder="1" applyProtection="1">
      <protection hidden="1"/>
    </xf>
    <xf numFmtId="0" fontId="47" fillId="42" borderId="13" xfId="0" applyFont="1" applyFill="1" applyBorder="1" applyProtection="1">
      <protection hidden="1"/>
    </xf>
    <xf numFmtId="0" fontId="47" fillId="0" borderId="20" xfId="0" applyFont="1" applyBorder="1" applyProtection="1">
      <protection hidden="1"/>
    </xf>
    <xf numFmtId="0" fontId="47" fillId="44" borderId="0" xfId="67" applyFont="1" applyFill="1" applyAlignment="1" applyProtection="1">
      <alignment horizontal="center"/>
      <protection locked="0"/>
    </xf>
    <xf numFmtId="0" fontId="47" fillId="42" borderId="20" xfId="67" applyFont="1" applyFill="1" applyBorder="1" applyAlignment="1" applyProtection="1">
      <alignment vertical="top"/>
      <protection hidden="1"/>
    </xf>
    <xf numFmtId="164" fontId="47" fillId="42" borderId="24" xfId="67" applyNumberFormat="1" applyFont="1" applyFill="1" applyBorder="1" applyAlignment="1" applyProtection="1">
      <alignment horizontal="center"/>
      <protection hidden="1"/>
    </xf>
    <xf numFmtId="0" fontId="85" fillId="43" borderId="0" xfId="67" applyFont="1" applyFill="1" applyAlignment="1" applyProtection="1">
      <protection hidden="1"/>
    </xf>
    <xf numFmtId="0" fontId="47" fillId="0" borderId="11" xfId="0" applyFont="1" applyBorder="1" applyAlignment="1" applyProtection="1">
      <alignment horizontal="center"/>
      <protection hidden="1"/>
    </xf>
    <xf numFmtId="0" fontId="85" fillId="45" borderId="0" xfId="67" applyFont="1" applyFill="1" applyAlignment="1" applyProtection="1">
      <protection hidden="1"/>
    </xf>
    <xf numFmtId="0" fontId="164" fillId="35" borderId="0" xfId="0" applyNumberFormat="1" applyFont="1" applyFill="1" applyAlignment="1" applyProtection="1">
      <protection hidden="1"/>
    </xf>
    <xf numFmtId="0" fontId="47" fillId="42" borderId="16" xfId="67" applyFont="1" applyFill="1" applyBorder="1" applyAlignment="1" applyProtection="1">
      <alignment horizontal="center"/>
      <protection hidden="1"/>
    </xf>
    <xf numFmtId="0" fontId="47" fillId="42" borderId="0" xfId="67" applyFont="1" applyFill="1" applyBorder="1" applyAlignment="1" applyProtection="1">
      <alignment horizontal="center"/>
      <protection hidden="1"/>
    </xf>
    <xf numFmtId="0" fontId="47" fillId="42" borderId="45" xfId="67" applyFont="1" applyFill="1" applyBorder="1" applyAlignment="1" applyProtection="1">
      <alignment horizontal="center"/>
      <protection hidden="1"/>
    </xf>
    <xf numFmtId="0" fontId="47" fillId="42" borderId="18" xfId="67" applyFont="1" applyFill="1" applyBorder="1" applyAlignment="1" applyProtection="1">
      <alignment horizontal="center"/>
      <protection hidden="1"/>
    </xf>
    <xf numFmtId="0" fontId="47" fillId="42" borderId="39" xfId="67" applyFont="1" applyFill="1" applyBorder="1" applyAlignment="1" applyProtection="1">
      <alignment horizontal="center"/>
      <protection hidden="1"/>
    </xf>
    <xf numFmtId="0" fontId="47" fillId="42" borderId="21" xfId="67" applyFont="1" applyFill="1" applyBorder="1" applyAlignment="1" applyProtection="1">
      <alignment horizontal="right"/>
      <protection hidden="1"/>
    </xf>
    <xf numFmtId="0" fontId="47" fillId="42" borderId="21" xfId="67" applyFont="1" applyFill="1" applyBorder="1" applyAlignment="1" applyProtection="1">
      <alignment horizontal="center"/>
      <protection hidden="1"/>
    </xf>
    <xf numFmtId="0" fontId="47" fillId="42" borderId="42" xfId="67" applyFont="1" applyFill="1" applyBorder="1" applyAlignment="1" applyProtection="1">
      <alignment horizontal="center"/>
      <protection hidden="1"/>
    </xf>
    <xf numFmtId="2" fontId="47" fillId="0" borderId="0" xfId="67" applyNumberFormat="1" applyFont="1" applyAlignment="1" applyProtection="1">
      <alignment horizontal="left"/>
      <protection hidden="1"/>
    </xf>
    <xf numFmtId="0" fontId="47" fillId="47" borderId="13" xfId="67" applyFont="1" applyFill="1" applyBorder="1" applyAlignment="1" applyProtection="1">
      <alignment horizontal="right" wrapText="1"/>
      <protection hidden="1"/>
    </xf>
    <xf numFmtId="0" fontId="162" fillId="48" borderId="13" xfId="67" applyFont="1" applyFill="1" applyBorder="1" applyAlignment="1" applyProtection="1">
      <alignment horizontal="right" wrapText="1"/>
      <protection hidden="1"/>
    </xf>
    <xf numFmtId="0" fontId="47" fillId="49" borderId="13" xfId="67" applyFont="1" applyFill="1" applyBorder="1" applyAlignment="1" applyProtection="1">
      <alignment horizontal="right" wrapText="1"/>
      <protection hidden="1"/>
    </xf>
    <xf numFmtId="0" fontId="33" fillId="50" borderId="20" xfId="67" applyFont="1" applyFill="1" applyBorder="1" applyAlignment="1" applyProtection="1">
      <alignment horizontal="right" wrapText="1"/>
      <protection hidden="1"/>
    </xf>
    <xf numFmtId="164" fontId="47" fillId="42" borderId="23" xfId="67" applyNumberFormat="1" applyFont="1" applyFill="1" applyBorder="1" applyAlignment="1" applyProtection="1">
      <alignment horizontal="center"/>
      <protection hidden="1"/>
    </xf>
    <xf numFmtId="0" fontId="6" fillId="42" borderId="0" xfId="67" applyFont="1" applyFill="1" applyAlignment="1" applyProtection="1">
      <alignment horizontal="left"/>
      <protection hidden="1"/>
    </xf>
    <xf numFmtId="0" fontId="151" fillId="35" borderId="0" xfId="0" applyFont="1" applyFill="1" applyProtection="1">
      <protection hidden="1"/>
    </xf>
    <xf numFmtId="0" fontId="6" fillId="42" borderId="0" xfId="67" applyFont="1" applyFill="1" applyAlignment="1" applyProtection="1">
      <alignment horizontal="right"/>
      <protection hidden="1"/>
    </xf>
    <xf numFmtId="0" fontId="25" fillId="42" borderId="0" xfId="46" applyFont="1" applyFill="1" applyAlignment="1" applyProtection="1">
      <protection hidden="1"/>
    </xf>
    <xf numFmtId="0" fontId="60" fillId="43" borderId="14" xfId="67" applyFont="1" applyFill="1" applyBorder="1" applyAlignment="1" applyProtection="1">
      <protection hidden="1"/>
    </xf>
    <xf numFmtId="0" fontId="165" fillId="43" borderId="0" xfId="67" applyFont="1" applyFill="1" applyAlignment="1" applyProtection="1">
      <alignment horizontal="right"/>
      <protection hidden="1"/>
    </xf>
    <xf numFmtId="0" fontId="3" fillId="35" borderId="0" xfId="0" applyFont="1" applyFill="1" applyBorder="1" applyAlignment="1" applyProtection="1">
      <protection hidden="1"/>
    </xf>
    <xf numFmtId="0" fontId="11" fillId="0" borderId="17" xfId="0" applyFont="1" applyBorder="1" applyAlignment="1" applyProtection="1">
      <alignment horizontal="center"/>
      <protection hidden="1"/>
    </xf>
    <xf numFmtId="1" fontId="14" fillId="0" borderId="0" xfId="69" applyNumberFormat="1" applyFont="1" applyProtection="1">
      <protection hidden="1"/>
    </xf>
    <xf numFmtId="49" fontId="12" fillId="35" borderId="0" xfId="66" applyNumberFormat="1" applyFont="1" applyFill="1" applyAlignment="1" applyProtection="1">
      <alignment vertical="center"/>
      <protection hidden="1"/>
    </xf>
    <xf numFmtId="165" fontId="3" fillId="0" borderId="0" xfId="66" applyNumberFormat="1" applyFont="1" applyProtection="1">
      <protection hidden="1"/>
    </xf>
    <xf numFmtId="0" fontId="95" fillId="35" borderId="0" xfId="69" applyFont="1" applyFill="1" applyAlignment="1" applyProtection="1">
      <protection hidden="1"/>
    </xf>
    <xf numFmtId="0" fontId="1" fillId="35" borderId="0" xfId="69" applyFill="1" applyAlignment="1" applyProtection="1">
      <protection hidden="1"/>
    </xf>
    <xf numFmtId="0" fontId="5" fillId="0" borderId="0" xfId="0" applyFont="1" applyFill="1" applyBorder="1" applyProtection="1">
      <protection hidden="1"/>
    </xf>
    <xf numFmtId="0" fontId="5" fillId="0" borderId="0" xfId="69" applyFont="1" applyProtection="1">
      <protection hidden="1"/>
    </xf>
    <xf numFmtId="0" fontId="1" fillId="35" borderId="0" xfId="66" applyFill="1" applyAlignment="1" applyProtection="1">
      <alignment horizontal="centerContinuous"/>
      <protection hidden="1"/>
    </xf>
    <xf numFmtId="0" fontId="1" fillId="35" borderId="0" xfId="66" applyFill="1" applyAlignment="1" applyProtection="1">
      <alignment horizontal="center"/>
      <protection hidden="1"/>
    </xf>
    <xf numFmtId="0" fontId="5" fillId="35" borderId="0" xfId="66" applyFont="1" applyFill="1" applyAlignment="1" applyProtection="1">
      <alignment horizontal="center"/>
      <protection hidden="1"/>
    </xf>
    <xf numFmtId="0" fontId="32" fillId="35" borderId="0" xfId="66" applyFont="1" applyFill="1" applyBorder="1" applyAlignment="1" applyProtection="1">
      <protection hidden="1"/>
    </xf>
    <xf numFmtId="0" fontId="3" fillId="35" borderId="15" xfId="84" applyFill="1" applyBorder="1" applyAlignment="1" applyProtection="1">
      <protection hidden="1"/>
    </xf>
    <xf numFmtId="0" fontId="5" fillId="35" borderId="0" xfId="66" applyFont="1" applyFill="1" applyBorder="1" applyAlignment="1" applyProtection="1">
      <alignment horizontal="centerContinuous"/>
      <protection hidden="1"/>
    </xf>
    <xf numFmtId="49" fontId="41" fillId="35" borderId="0" xfId="69" applyNumberFormat="1" applyFont="1" applyFill="1" applyBorder="1" applyAlignment="1" applyProtection="1">
      <alignment horizontal="right" vertical="center" textRotation="90" wrapText="1"/>
      <protection hidden="1"/>
    </xf>
    <xf numFmtId="0" fontId="5" fillId="35" borderId="0" xfId="91" applyFont="1" applyFill="1" applyBorder="1" applyAlignment="1" applyProtection="1">
      <alignment horizontal="right"/>
      <protection hidden="1"/>
    </xf>
    <xf numFmtId="0" fontId="14" fillId="35" borderId="0" xfId="69" applyFont="1" applyFill="1" applyProtection="1">
      <protection hidden="1"/>
    </xf>
    <xf numFmtId="0" fontId="3" fillId="35" borderId="18" xfId="66" applyFont="1" applyFill="1" applyBorder="1" applyAlignment="1" applyProtection="1">
      <protection hidden="1"/>
    </xf>
    <xf numFmtId="0" fontId="37" fillId="35" borderId="18" xfId="66" applyFont="1" applyFill="1" applyBorder="1" applyAlignment="1" applyProtection="1">
      <alignment horizontal="center"/>
      <protection hidden="1"/>
    </xf>
    <xf numFmtId="0" fontId="37" fillId="35" borderId="24" xfId="66" applyFont="1" applyFill="1" applyBorder="1" applyAlignment="1" applyProtection="1">
      <alignment horizontal="center"/>
      <protection hidden="1"/>
    </xf>
    <xf numFmtId="0" fontId="3" fillId="13" borderId="0" xfId="66" applyFont="1" applyFill="1" applyBorder="1" applyAlignment="1" applyProtection="1">
      <alignment horizontal="center"/>
      <protection hidden="1"/>
    </xf>
    <xf numFmtId="0" fontId="3" fillId="13" borderId="0" xfId="66" applyFont="1" applyFill="1" applyProtection="1">
      <protection hidden="1"/>
    </xf>
    <xf numFmtId="0" fontId="3" fillId="7" borderId="0" xfId="66" applyFont="1" applyFill="1" applyBorder="1" applyAlignment="1" applyProtection="1">
      <alignment horizontal="center"/>
      <protection hidden="1"/>
    </xf>
    <xf numFmtId="0" fontId="3" fillId="7" borderId="0" xfId="66" applyFont="1" applyFill="1" applyProtection="1">
      <protection hidden="1"/>
    </xf>
    <xf numFmtId="0" fontId="20" fillId="38" borderId="14" xfId="66" applyFont="1" applyFill="1" applyBorder="1" applyAlignment="1" applyProtection="1">
      <alignment horizontal="centerContinuous"/>
      <protection hidden="1"/>
    </xf>
    <xf numFmtId="0" fontId="5" fillId="38" borderId="23" xfId="66" applyFont="1" applyFill="1" applyBorder="1" applyAlignment="1" applyProtection="1">
      <alignment horizontal="centerContinuous"/>
      <protection hidden="1"/>
    </xf>
    <xf numFmtId="0" fontId="5" fillId="38" borderId="14" xfId="66" applyFont="1" applyFill="1" applyBorder="1" applyAlignment="1" applyProtection="1">
      <alignment horizontal="centerContinuous"/>
      <protection hidden="1"/>
    </xf>
    <xf numFmtId="0" fontId="20" fillId="38" borderId="20" xfId="66" applyFont="1" applyFill="1" applyBorder="1" applyAlignment="1" applyProtection="1">
      <alignment horizontal="left"/>
      <protection hidden="1"/>
    </xf>
    <xf numFmtId="0" fontId="38" fillId="38" borderId="12" xfId="66" applyFont="1" applyFill="1" applyBorder="1" applyAlignment="1" applyProtection="1">
      <alignment horizontal="centerContinuous"/>
      <protection hidden="1"/>
    </xf>
    <xf numFmtId="0" fontId="3" fillId="38" borderId="0" xfId="84" applyFill="1" applyAlignment="1" applyProtection="1">
      <alignment horizontal="centerContinuous"/>
      <protection hidden="1"/>
    </xf>
    <xf numFmtId="0" fontId="3" fillId="38" borderId="0" xfId="84" applyFill="1" applyProtection="1">
      <protection hidden="1"/>
    </xf>
    <xf numFmtId="0" fontId="39" fillId="35" borderId="0" xfId="66" applyFont="1" applyFill="1" applyBorder="1" applyAlignment="1" applyProtection="1">
      <protection hidden="1"/>
    </xf>
    <xf numFmtId="0" fontId="37" fillId="0" borderId="0" xfId="84" applyFont="1" applyFill="1" applyBorder="1" applyAlignment="1" applyProtection="1">
      <alignment horizontal="center"/>
      <protection hidden="1"/>
    </xf>
    <xf numFmtId="0" fontId="14" fillId="0" borderId="0" xfId="69" applyFont="1" applyProtection="1">
      <protection hidden="1"/>
    </xf>
    <xf numFmtId="0" fontId="24" fillId="38" borderId="23" xfId="66" applyFont="1" applyFill="1" applyBorder="1" applyProtection="1">
      <protection hidden="1"/>
    </xf>
    <xf numFmtId="0" fontId="24" fillId="38" borderId="12" xfId="66" applyFont="1" applyFill="1" applyBorder="1" applyProtection="1">
      <protection hidden="1"/>
    </xf>
    <xf numFmtId="0" fontId="24" fillId="38" borderId="20" xfId="66" applyFont="1" applyFill="1" applyBorder="1" applyProtection="1">
      <protection hidden="1"/>
    </xf>
    <xf numFmtId="0" fontId="24" fillId="38" borderId="17" xfId="66" applyFont="1" applyFill="1" applyBorder="1" applyProtection="1">
      <protection hidden="1"/>
    </xf>
    <xf numFmtId="0" fontId="85" fillId="0" borderId="0" xfId="63" applyFont="1" applyProtection="1">
      <protection hidden="1"/>
    </xf>
    <xf numFmtId="0" fontId="47" fillId="42" borderId="37" xfId="67" applyFont="1" applyFill="1" applyBorder="1" applyAlignment="1" applyProtection="1">
      <alignment horizontal="center"/>
      <protection hidden="1"/>
    </xf>
    <xf numFmtId="0" fontId="47" fillId="42" borderId="36" xfId="67" applyFont="1" applyFill="1" applyBorder="1" applyAlignment="1" applyProtection="1">
      <alignment horizontal="center"/>
      <protection hidden="1"/>
    </xf>
    <xf numFmtId="0" fontId="153" fillId="42" borderId="0" xfId="0" applyFont="1" applyFill="1" applyAlignment="1" applyProtection="1">
      <alignment vertical="center"/>
      <protection hidden="1"/>
    </xf>
    <xf numFmtId="0" fontId="85" fillId="53" borderId="0" xfId="67" applyFont="1" applyFill="1" applyProtection="1">
      <protection hidden="1"/>
    </xf>
    <xf numFmtId="0" fontId="47" fillId="53" borderId="0" xfId="63" applyFont="1" applyFill="1" applyAlignment="1" applyProtection="1">
      <alignment horizontal="center"/>
      <protection hidden="1"/>
    </xf>
    <xf numFmtId="0" fontId="85" fillId="51" borderId="0" xfId="67" applyFont="1" applyFill="1" applyProtection="1">
      <protection hidden="1"/>
    </xf>
    <xf numFmtId="0" fontId="47" fillId="53" borderId="0" xfId="67" applyFont="1" applyFill="1" applyProtection="1">
      <protection hidden="1"/>
    </xf>
    <xf numFmtId="0" fontId="47" fillId="53" borderId="39" xfId="0" applyFont="1" applyFill="1" applyBorder="1" applyAlignment="1" applyProtection="1">
      <alignment horizontal="center"/>
      <protection hidden="1"/>
    </xf>
    <xf numFmtId="164" fontId="47" fillId="53" borderId="42" xfId="0" applyNumberFormat="1" applyFont="1" applyFill="1" applyBorder="1" applyAlignment="1" applyProtection="1">
      <alignment horizontal="center"/>
      <protection hidden="1"/>
    </xf>
    <xf numFmtId="0" fontId="171" fillId="0" borderId="0" xfId="67" applyFont="1" applyFill="1" applyProtection="1">
      <protection hidden="1"/>
    </xf>
    <xf numFmtId="0" fontId="13" fillId="0" borderId="48" xfId="86" applyFont="1" applyFill="1" applyBorder="1" applyAlignment="1" applyProtection="1">
      <protection hidden="1"/>
    </xf>
    <xf numFmtId="1" fontId="3" fillId="37" borderId="0" xfId="66" applyNumberFormat="1" applyFont="1" applyFill="1" applyBorder="1" applyAlignment="1" applyProtection="1">
      <alignment horizontal="center"/>
      <protection locked="0"/>
    </xf>
    <xf numFmtId="0" fontId="3" fillId="37" borderId="0" xfId="66" applyFont="1" applyFill="1" applyBorder="1" applyAlignment="1" applyProtection="1">
      <alignment horizontal="center"/>
      <protection locked="0"/>
    </xf>
    <xf numFmtId="0" fontId="3" fillId="37" borderId="0" xfId="66" applyFont="1" applyFill="1" applyAlignment="1" applyProtection="1">
      <alignment horizontal="center"/>
      <protection locked="0"/>
    </xf>
    <xf numFmtId="0" fontId="3" fillId="37" borderId="0" xfId="90" applyFont="1" applyFill="1" applyAlignment="1" applyProtection="1">
      <alignment horizontal="center"/>
      <protection locked="0"/>
    </xf>
    <xf numFmtId="1" fontId="5" fillId="37" borderId="0" xfId="66" applyNumberFormat="1" applyFont="1" applyFill="1" applyBorder="1" applyAlignment="1" applyProtection="1">
      <alignment horizontal="center"/>
      <protection locked="0"/>
    </xf>
    <xf numFmtId="0" fontId="112" fillId="35" borderId="0" xfId="69" applyFont="1" applyFill="1" applyBorder="1" applyAlignment="1" applyProtection="1">
      <protection hidden="1"/>
    </xf>
    <xf numFmtId="165" fontId="5" fillId="0" borderId="17" xfId="86" applyNumberFormat="1" applyBorder="1" applyAlignment="1" applyProtection="1">
      <alignment horizontal="center"/>
      <protection hidden="1"/>
    </xf>
    <xf numFmtId="0" fontId="59" fillId="42" borderId="0" xfId="67" applyFont="1" applyFill="1" applyAlignment="1" applyProtection="1">
      <alignment horizontal="left"/>
      <protection hidden="1"/>
    </xf>
    <xf numFmtId="0" fontId="3" fillId="51" borderId="18" xfId="67" applyFont="1" applyFill="1" applyBorder="1" applyProtection="1">
      <protection hidden="1"/>
    </xf>
    <xf numFmtId="0" fontId="3" fillId="35" borderId="13" xfId="67" applyFont="1" applyFill="1" applyBorder="1" applyProtection="1">
      <protection hidden="1"/>
    </xf>
    <xf numFmtId="1" fontId="3" fillId="35" borderId="15" xfId="67" applyNumberFormat="1" applyFont="1" applyFill="1" applyBorder="1" applyAlignment="1" applyProtection="1">
      <alignment horizontal="left"/>
      <protection hidden="1"/>
    </xf>
    <xf numFmtId="0" fontId="3" fillId="35" borderId="21" xfId="67" applyFont="1" applyFill="1" applyBorder="1" applyProtection="1">
      <protection hidden="1"/>
    </xf>
    <xf numFmtId="1" fontId="3" fillId="35" borderId="19" xfId="67" applyNumberFormat="1" applyFont="1" applyFill="1" applyBorder="1" applyAlignment="1" applyProtection="1">
      <alignment horizontal="left"/>
      <protection hidden="1"/>
    </xf>
    <xf numFmtId="0" fontId="47" fillId="0" borderId="0" xfId="67" applyFont="1" applyFill="1" applyProtection="1">
      <protection hidden="1"/>
    </xf>
    <xf numFmtId="0" fontId="60" fillId="35" borderId="21" xfId="67" applyFont="1" applyFill="1" applyBorder="1" applyAlignment="1" applyProtection="1">
      <alignment horizontal="center"/>
      <protection hidden="1"/>
    </xf>
    <xf numFmtId="0" fontId="3" fillId="42" borderId="10" xfId="67" applyFont="1" applyFill="1" applyBorder="1" applyAlignment="1" applyProtection="1">
      <protection hidden="1"/>
    </xf>
    <xf numFmtId="0" fontId="40" fillId="42" borderId="13" xfId="67" applyFont="1" applyFill="1" applyBorder="1" applyAlignment="1" applyProtection="1">
      <protection hidden="1"/>
    </xf>
    <xf numFmtId="0" fontId="40" fillId="42" borderId="20" xfId="67" applyFont="1" applyFill="1" applyBorder="1" applyAlignment="1" applyProtection="1">
      <protection hidden="1"/>
    </xf>
    <xf numFmtId="0" fontId="3" fillId="42" borderId="21" xfId="67" applyFont="1" applyFill="1" applyBorder="1" applyAlignment="1" applyProtection="1">
      <alignment horizontal="right"/>
      <protection hidden="1"/>
    </xf>
    <xf numFmtId="0" fontId="40" fillId="51" borderId="18" xfId="67" applyFont="1" applyFill="1" applyBorder="1" applyAlignment="1" applyProtection="1">
      <alignment horizontal="left"/>
      <protection hidden="1"/>
    </xf>
    <xf numFmtId="0" fontId="15" fillId="51" borderId="0" xfId="86" applyFont="1" applyFill="1" applyProtection="1">
      <protection hidden="1"/>
    </xf>
    <xf numFmtId="0" fontId="8" fillId="51" borderId="0" xfId="76" applyFont="1" applyFill="1" applyProtection="1">
      <protection hidden="1"/>
    </xf>
    <xf numFmtId="0" fontId="47" fillId="0" borderId="0" xfId="0" applyFont="1" applyAlignment="1" applyProtection="1">
      <alignment horizontal="center"/>
      <protection hidden="1"/>
    </xf>
    <xf numFmtId="0" fontId="47" fillId="44" borderId="0" xfId="0" applyFont="1" applyFill="1" applyAlignment="1" applyProtection="1">
      <alignment horizontal="center"/>
      <protection locked="0"/>
    </xf>
    <xf numFmtId="0" fontId="47" fillId="42" borderId="0" xfId="0" applyFont="1" applyFill="1" applyProtection="1">
      <protection hidden="1"/>
    </xf>
    <xf numFmtId="0" fontId="85" fillId="0" borderId="0" xfId="0" applyFont="1" applyProtection="1">
      <protection hidden="1"/>
    </xf>
    <xf numFmtId="1" fontId="47" fillId="42" borderId="0" xfId="67" applyNumberFormat="1" applyFont="1" applyFill="1" applyAlignment="1" applyProtection="1">
      <alignment horizontal="center"/>
      <protection hidden="1"/>
    </xf>
    <xf numFmtId="0" fontId="177" fillId="42" borderId="0" xfId="63" applyFont="1" applyFill="1" applyAlignment="1" applyProtection="1">
      <alignment horizontal="center"/>
      <protection hidden="1"/>
    </xf>
    <xf numFmtId="0" fontId="177" fillId="53" borderId="0" xfId="63" applyFont="1" applyFill="1" applyAlignment="1" applyProtection="1">
      <alignment horizontal="center"/>
      <protection hidden="1"/>
    </xf>
    <xf numFmtId="0" fontId="48" fillId="42" borderId="0" xfId="0" applyFont="1" applyFill="1" applyProtection="1">
      <protection hidden="1"/>
    </xf>
    <xf numFmtId="0" fontId="47" fillId="0" borderId="0" xfId="63" applyFont="1" applyAlignment="1" applyProtection="1">
      <alignment vertical="center"/>
      <protection hidden="1"/>
    </xf>
    <xf numFmtId="49" fontId="33" fillId="0" borderId="0" xfId="63" applyNumberFormat="1" applyFont="1" applyAlignment="1" applyProtection="1">
      <alignment vertical="center"/>
      <protection hidden="1"/>
    </xf>
    <xf numFmtId="0" fontId="33" fillId="0" borderId="0" xfId="63" applyFont="1" applyAlignment="1" applyProtection="1">
      <alignment vertical="center"/>
      <protection hidden="1"/>
    </xf>
    <xf numFmtId="0" fontId="47" fillId="42" borderId="0" xfId="0" applyFont="1" applyFill="1" applyAlignment="1" applyProtection="1">
      <alignment horizontal="right"/>
      <protection hidden="1"/>
    </xf>
    <xf numFmtId="0" fontId="183" fillId="37" borderId="0" xfId="0" applyFont="1" applyFill="1" applyProtection="1">
      <protection locked="0"/>
    </xf>
    <xf numFmtId="0" fontId="35" fillId="44" borderId="0" xfId="67" applyFont="1" applyFill="1" applyAlignment="1" applyProtection="1">
      <alignment horizontal="right"/>
      <protection locked="0"/>
    </xf>
    <xf numFmtId="0" fontId="47" fillId="42" borderId="0" xfId="63" applyFont="1" applyFill="1" applyProtection="1">
      <protection hidden="1"/>
    </xf>
    <xf numFmtId="0" fontId="146" fillId="42" borderId="0" xfId="63" applyFont="1" applyFill="1" applyAlignment="1" applyProtection="1">
      <alignment horizontal="center"/>
      <protection hidden="1"/>
    </xf>
    <xf numFmtId="0" fontId="25" fillId="42" borderId="0" xfId="46" applyFont="1" applyFill="1" applyAlignment="1" applyProtection="1">
      <alignment horizontal="right" vertical="center"/>
      <protection hidden="1"/>
    </xf>
    <xf numFmtId="49" fontId="33" fillId="0" borderId="0" xfId="63" applyNumberFormat="1" applyFont="1" applyProtection="1">
      <protection hidden="1"/>
    </xf>
    <xf numFmtId="0" fontId="33" fillId="0" borderId="0" xfId="63" applyFont="1" applyProtection="1">
      <protection hidden="1"/>
    </xf>
    <xf numFmtId="164" fontId="32" fillId="42" borderId="62" xfId="63" applyNumberFormat="1" applyFont="1" applyFill="1" applyBorder="1" applyAlignment="1" applyProtection="1">
      <alignment horizontal="right"/>
      <protection hidden="1"/>
    </xf>
    <xf numFmtId="164" fontId="11" fillId="43" borderId="18" xfId="67" applyNumberFormat="1" applyFont="1" applyFill="1" applyBorder="1" applyAlignment="1" applyProtection="1">
      <alignment horizontal="right"/>
      <protection hidden="1"/>
    </xf>
    <xf numFmtId="0" fontId="184" fillId="44" borderId="11" xfId="67" applyFont="1" applyFill="1" applyBorder="1" applyAlignment="1" applyProtection="1">
      <alignment horizontal="center"/>
      <protection locked="0"/>
    </xf>
    <xf numFmtId="164" fontId="32" fillId="42" borderId="48" xfId="63" applyNumberFormat="1" applyFont="1" applyFill="1" applyBorder="1" applyAlignment="1" applyProtection="1">
      <alignment horizontal="right"/>
      <protection hidden="1"/>
    </xf>
    <xf numFmtId="164" fontId="11" fillId="43" borderId="0" xfId="67" applyNumberFormat="1" applyFont="1" applyFill="1" applyBorder="1" applyAlignment="1" applyProtection="1">
      <alignment horizontal="right"/>
      <protection hidden="1"/>
    </xf>
    <xf numFmtId="0" fontId="184" fillId="44" borderId="16" xfId="67" applyFont="1" applyFill="1" applyBorder="1" applyAlignment="1" applyProtection="1">
      <alignment horizontal="center"/>
      <protection locked="0"/>
    </xf>
    <xf numFmtId="0" fontId="47" fillId="0" borderId="0" xfId="0" applyFont="1" applyAlignment="1" applyProtection="1">
      <alignment horizontal="right"/>
      <protection hidden="1"/>
    </xf>
    <xf numFmtId="164" fontId="32" fillId="35" borderId="48" xfId="0" applyNumberFormat="1" applyFont="1" applyFill="1" applyBorder="1" applyAlignment="1" applyProtection="1">
      <protection hidden="1"/>
    </xf>
    <xf numFmtId="164" fontId="11" fillId="43" borderId="0" xfId="63" applyNumberFormat="1" applyFont="1" applyFill="1" applyBorder="1" applyAlignment="1" applyProtection="1">
      <protection hidden="1"/>
    </xf>
    <xf numFmtId="0" fontId="59" fillId="42" borderId="15" xfId="104" applyFont="1" applyFill="1" applyBorder="1" applyProtection="1">
      <protection hidden="1"/>
    </xf>
    <xf numFmtId="2" fontId="11" fillId="43" borderId="0" xfId="67" applyNumberFormat="1" applyFont="1" applyFill="1" applyBorder="1" applyAlignment="1" applyProtection="1">
      <protection hidden="1"/>
    </xf>
    <xf numFmtId="167" fontId="47" fillId="0" borderId="0" xfId="0" applyNumberFormat="1" applyFont="1" applyProtection="1">
      <protection hidden="1"/>
    </xf>
    <xf numFmtId="49" fontId="47" fillId="0" borderId="0" xfId="63" applyNumberFormat="1" applyFont="1" applyProtection="1">
      <protection hidden="1"/>
    </xf>
    <xf numFmtId="49" fontId="47" fillId="0" borderId="0" xfId="63" applyNumberFormat="1" applyFont="1" applyFill="1" applyProtection="1">
      <protection hidden="1"/>
    </xf>
    <xf numFmtId="49" fontId="33" fillId="0" borderId="0" xfId="63" applyNumberFormat="1" applyFont="1" applyFill="1" applyProtection="1">
      <protection hidden="1"/>
    </xf>
    <xf numFmtId="0" fontId="33" fillId="0" borderId="0" xfId="63" applyFont="1" applyFill="1" applyProtection="1">
      <protection hidden="1"/>
    </xf>
    <xf numFmtId="0" fontId="47" fillId="0" borderId="0" xfId="67" applyFont="1" applyAlignment="1" applyProtection="1">
      <protection hidden="1"/>
    </xf>
    <xf numFmtId="2" fontId="47" fillId="42" borderId="0" xfId="67" applyNumberFormat="1" applyFont="1" applyFill="1" applyAlignment="1" applyProtection="1">
      <alignment horizontal="right"/>
      <protection hidden="1"/>
    </xf>
    <xf numFmtId="0" fontId="15" fillId="42" borderId="0" xfId="67" applyFont="1" applyFill="1" applyAlignment="1" applyProtection="1">
      <alignment horizontal="left"/>
      <protection hidden="1"/>
    </xf>
    <xf numFmtId="2" fontId="47" fillId="42" borderId="0" xfId="63" applyNumberFormat="1" applyFont="1" applyFill="1" applyProtection="1">
      <protection hidden="1"/>
    </xf>
    <xf numFmtId="49" fontId="141" fillId="0" borderId="0" xfId="63" applyNumberFormat="1" applyFont="1" applyFill="1" applyProtection="1">
      <protection hidden="1"/>
    </xf>
    <xf numFmtId="2" fontId="47" fillId="0" borderId="17" xfId="67" applyNumberFormat="1" applyFont="1" applyBorder="1" applyAlignment="1" applyProtection="1">
      <alignment horizontal="center"/>
      <protection hidden="1"/>
    </xf>
    <xf numFmtId="49" fontId="141" fillId="0" borderId="0" xfId="63" applyNumberFormat="1" applyFont="1" applyProtection="1">
      <protection hidden="1"/>
    </xf>
    <xf numFmtId="0" fontId="47" fillId="51" borderId="0" xfId="67" applyFont="1" applyFill="1" applyAlignment="1" applyProtection="1">
      <protection hidden="1"/>
    </xf>
    <xf numFmtId="165" fontId="47" fillId="0" borderId="17" xfId="67" applyNumberFormat="1" applyFont="1" applyBorder="1" applyAlignment="1" applyProtection="1">
      <alignment horizontal="center"/>
      <protection hidden="1"/>
    </xf>
    <xf numFmtId="164" fontId="47" fillId="0" borderId="0" xfId="63" applyNumberFormat="1" applyFont="1" applyProtection="1">
      <protection hidden="1"/>
    </xf>
    <xf numFmtId="0" fontId="47" fillId="0" borderId="0" xfId="63" applyFont="1" applyAlignment="1" applyProtection="1">
      <alignment horizontal="center"/>
      <protection hidden="1"/>
    </xf>
    <xf numFmtId="0" fontId="47" fillId="42" borderId="0" xfId="63" applyFont="1" applyFill="1" applyAlignment="1" applyProtection="1">
      <alignment horizontal="left" wrapText="1"/>
      <protection hidden="1"/>
    </xf>
    <xf numFmtId="0" fontId="47" fillId="42" borderId="20" xfId="63" applyFont="1" applyFill="1" applyBorder="1" applyAlignment="1" applyProtection="1">
      <alignment horizontal="left" wrapText="1"/>
      <protection hidden="1"/>
    </xf>
    <xf numFmtId="0" fontId="47" fillId="42" borderId="14" xfId="63" applyFont="1" applyFill="1" applyBorder="1" applyAlignment="1" applyProtection="1">
      <alignment horizontal="left" wrapText="1"/>
      <protection hidden="1"/>
    </xf>
    <xf numFmtId="0" fontId="61" fillId="42" borderId="14" xfId="67" applyFont="1" applyFill="1" applyBorder="1" applyAlignment="1" applyProtection="1">
      <alignment wrapText="1"/>
      <protection hidden="1"/>
    </xf>
    <xf numFmtId="0" fontId="47" fillId="42" borderId="14" xfId="63" applyFont="1" applyFill="1" applyBorder="1" applyAlignment="1" applyProtection="1">
      <alignment horizontal="center"/>
      <protection hidden="1"/>
    </xf>
    <xf numFmtId="0" fontId="191" fillId="0" borderId="0" xfId="63" applyFont="1" applyProtection="1">
      <protection hidden="1"/>
    </xf>
    <xf numFmtId="164" fontId="47" fillId="0" borderId="0" xfId="63" applyNumberFormat="1" applyFont="1" applyAlignment="1" applyProtection="1">
      <alignment horizontal="center"/>
      <protection hidden="1"/>
    </xf>
    <xf numFmtId="0" fontId="14" fillId="0" borderId="0" xfId="67" applyFont="1" applyProtection="1">
      <protection hidden="1"/>
    </xf>
    <xf numFmtId="1" fontId="47" fillId="0" borderId="0" xfId="63" applyNumberFormat="1" applyFont="1" applyProtection="1">
      <protection hidden="1"/>
    </xf>
    <xf numFmtId="1" fontId="14" fillId="0" borderId="0" xfId="67" applyNumberFormat="1" applyFont="1" applyProtection="1">
      <protection hidden="1"/>
    </xf>
    <xf numFmtId="0" fontId="47" fillId="51" borderId="21" xfId="63" applyFont="1" applyFill="1" applyBorder="1" applyProtection="1">
      <protection hidden="1"/>
    </xf>
    <xf numFmtId="167" fontId="11" fillId="0" borderId="0" xfId="67" applyNumberFormat="1" applyFont="1" applyAlignment="1" applyProtection="1">
      <alignment horizontal="left"/>
      <protection hidden="1"/>
    </xf>
    <xf numFmtId="0" fontId="61" fillId="0" borderId="0" xfId="63" applyFont="1" applyProtection="1">
      <protection hidden="1"/>
    </xf>
    <xf numFmtId="0" fontId="61" fillId="0" borderId="13" xfId="63" applyFont="1" applyBorder="1" applyProtection="1">
      <protection hidden="1"/>
    </xf>
    <xf numFmtId="0" fontId="47" fillId="44" borderId="13" xfId="63" applyFont="1" applyFill="1" applyBorder="1" applyProtection="1">
      <protection locked="0"/>
    </xf>
    <xf numFmtId="0" fontId="47" fillId="44" borderId="0" xfId="63" applyFont="1" applyFill="1" applyProtection="1">
      <protection locked="0"/>
    </xf>
    <xf numFmtId="0" fontId="47" fillId="44" borderId="78" xfId="63" applyFont="1" applyFill="1" applyBorder="1" applyProtection="1">
      <protection locked="0"/>
    </xf>
    <xf numFmtId="164" fontId="85" fillId="0" borderId="0" xfId="63" applyNumberFormat="1" applyFont="1" applyProtection="1">
      <protection hidden="1"/>
    </xf>
    <xf numFmtId="49" fontId="33" fillId="0" borderId="0" xfId="63" applyNumberFormat="1" applyFont="1" applyAlignment="1" applyProtection="1">
      <alignment horizontal="center" vertical="center"/>
      <protection hidden="1"/>
    </xf>
    <xf numFmtId="164" fontId="47" fillId="0" borderId="0" xfId="63" applyNumberFormat="1" applyFont="1" applyAlignment="1" applyProtection="1">
      <alignment horizontal="right"/>
      <protection hidden="1"/>
    </xf>
    <xf numFmtId="165" fontId="47" fillId="0" borderId="0" xfId="63" applyNumberFormat="1" applyFont="1" applyProtection="1">
      <protection hidden="1"/>
    </xf>
    <xf numFmtId="0" fontId="47" fillId="0" borderId="18" xfId="67" applyFont="1" applyBorder="1" applyAlignment="1" applyProtection="1">
      <alignment horizontal="right"/>
      <protection hidden="1"/>
    </xf>
    <xf numFmtId="165" fontId="141" fillId="0" borderId="24" xfId="63" applyNumberFormat="1" applyFont="1" applyBorder="1" applyAlignment="1" applyProtection="1">
      <alignment horizontal="center" wrapText="1"/>
      <protection hidden="1"/>
    </xf>
    <xf numFmtId="164" fontId="47" fillId="0" borderId="14" xfId="63" applyNumberFormat="1" applyFont="1" applyBorder="1" applyAlignment="1" applyProtection="1">
      <alignment horizontal="right"/>
      <protection hidden="1"/>
    </xf>
    <xf numFmtId="164" fontId="47" fillId="0" borderId="14" xfId="63" applyNumberFormat="1" applyFont="1" applyBorder="1" applyProtection="1">
      <protection hidden="1"/>
    </xf>
    <xf numFmtId="0" fontId="60" fillId="0" borderId="18" xfId="63" applyFont="1" applyBorder="1" applyAlignment="1" applyProtection="1">
      <alignment horizontal="center"/>
      <protection hidden="1"/>
    </xf>
    <xf numFmtId="165" fontId="60" fillId="0" borderId="24" xfId="63" applyNumberFormat="1" applyFont="1" applyBorder="1" applyAlignment="1" applyProtection="1">
      <alignment horizontal="center" vertical="center" wrapText="1"/>
      <protection hidden="1"/>
    </xf>
    <xf numFmtId="49" fontId="11" fillId="0" borderId="0" xfId="63" applyNumberFormat="1" applyFont="1" applyAlignment="1" applyProtection="1">
      <alignment vertical="center"/>
      <protection hidden="1"/>
    </xf>
    <xf numFmtId="164" fontId="47" fillId="0" borderId="0" xfId="67" applyNumberFormat="1" applyFont="1" applyAlignment="1" applyProtection="1">
      <alignment horizontal="right"/>
      <protection hidden="1"/>
    </xf>
    <xf numFmtId="1" fontId="47" fillId="44" borderId="0" xfId="67" applyNumberFormat="1" applyFont="1" applyFill="1" applyProtection="1">
      <protection locked="0"/>
    </xf>
    <xf numFmtId="0" fontId="60" fillId="0" borderId="0" xfId="63" applyFont="1" applyAlignment="1" applyProtection="1">
      <alignment horizontal="right"/>
      <protection hidden="1"/>
    </xf>
    <xf numFmtId="165" fontId="60" fillId="0" borderId="15" xfId="63" applyNumberFormat="1" applyFont="1" applyBorder="1" applyAlignment="1" applyProtection="1">
      <alignment horizontal="center"/>
      <protection hidden="1"/>
    </xf>
    <xf numFmtId="165" fontId="47" fillId="0" borderId="0" xfId="67" applyNumberFormat="1" applyFont="1" applyProtection="1">
      <protection hidden="1"/>
    </xf>
    <xf numFmtId="0" fontId="11" fillId="0" borderId="0" xfId="67" applyFont="1" applyProtection="1">
      <protection hidden="1"/>
    </xf>
    <xf numFmtId="0" fontId="47" fillId="0" borderId="0" xfId="67" applyFont="1" applyAlignment="1" applyProtection="1">
      <alignment horizontal="right"/>
      <protection hidden="1"/>
    </xf>
    <xf numFmtId="0" fontId="47" fillId="0" borderId="0" xfId="63" applyFont="1" applyAlignment="1" applyProtection="1">
      <alignment horizontal="right"/>
      <protection hidden="1"/>
    </xf>
    <xf numFmtId="0" fontId="47" fillId="44" borderId="81" xfId="63" applyFont="1" applyFill="1" applyBorder="1" applyProtection="1">
      <protection locked="0"/>
    </xf>
    <xf numFmtId="0" fontId="61" fillId="0" borderId="0" xfId="63" applyFont="1" applyAlignment="1" applyProtection="1">
      <alignment horizontal="right"/>
      <protection hidden="1"/>
    </xf>
    <xf numFmtId="0" fontId="60" fillId="35" borderId="21" xfId="67" applyFont="1" applyFill="1" applyBorder="1" applyAlignment="1" applyProtection="1">
      <alignment horizontal="left"/>
      <protection hidden="1"/>
    </xf>
    <xf numFmtId="0" fontId="3" fillId="42" borderId="10" xfId="67" applyFont="1" applyFill="1" applyBorder="1" applyAlignment="1" applyProtection="1">
      <alignment horizontal="left"/>
      <protection hidden="1"/>
    </xf>
    <xf numFmtId="0" fontId="47" fillId="37" borderId="10" xfId="67" applyFont="1" applyFill="1" applyBorder="1" applyProtection="1">
      <protection locked="0"/>
    </xf>
    <xf numFmtId="0" fontId="40" fillId="42" borderId="13" xfId="67" applyFont="1" applyFill="1" applyBorder="1" applyAlignment="1" applyProtection="1">
      <alignment horizontal="left"/>
      <protection hidden="1"/>
    </xf>
    <xf numFmtId="0" fontId="47" fillId="35" borderId="13" xfId="67" applyFont="1" applyFill="1" applyBorder="1" applyProtection="1">
      <protection hidden="1"/>
    </xf>
    <xf numFmtId="0" fontId="47" fillId="35" borderId="15" xfId="67" applyFont="1" applyFill="1" applyBorder="1" applyAlignment="1" applyProtection="1">
      <alignment horizontal="left"/>
      <protection hidden="1"/>
    </xf>
    <xf numFmtId="0" fontId="40" fillId="42" borderId="20" xfId="67" applyFont="1" applyFill="1" applyBorder="1" applyAlignment="1" applyProtection="1">
      <alignment horizontal="left"/>
      <protection hidden="1"/>
    </xf>
    <xf numFmtId="0" fontId="47" fillId="35" borderId="21" xfId="67" applyFont="1" applyFill="1" applyBorder="1" applyProtection="1">
      <protection hidden="1"/>
    </xf>
    <xf numFmtId="0" fontId="47" fillId="35" borderId="19" xfId="67" applyFont="1" applyFill="1" applyBorder="1" applyAlignment="1" applyProtection="1">
      <alignment horizontal="left"/>
      <protection hidden="1"/>
    </xf>
    <xf numFmtId="0" fontId="47" fillId="42" borderId="0" xfId="67" applyFont="1" applyFill="1" applyAlignment="1" applyProtection="1">
      <alignment vertical="center" wrapText="1"/>
      <protection hidden="1"/>
    </xf>
    <xf numFmtId="0" fontId="194" fillId="42" borderId="0" xfId="67" applyFont="1" applyFill="1" applyAlignment="1" applyProtection="1">
      <alignment horizontal="center" vertical="center" wrapText="1"/>
      <protection hidden="1"/>
    </xf>
    <xf numFmtId="0" fontId="59" fillId="42" borderId="0" xfId="67" applyFont="1" applyFill="1" applyAlignment="1" applyProtection="1">
      <alignment vertical="top" wrapText="1"/>
      <protection hidden="1"/>
    </xf>
    <xf numFmtId="0" fontId="85" fillId="42" borderId="0" xfId="63" applyFont="1" applyFill="1" applyProtection="1">
      <protection hidden="1"/>
    </xf>
    <xf numFmtId="0" fontId="47" fillId="42" borderId="0" xfId="67" applyFont="1" applyFill="1" applyAlignment="1" applyProtection="1">
      <alignment vertical="top" wrapText="1"/>
      <protection hidden="1"/>
    </xf>
    <xf numFmtId="0" fontId="47" fillId="43" borderId="0" xfId="67" applyFont="1" applyFill="1" applyAlignment="1" applyProtection="1">
      <alignment wrapText="1"/>
      <protection hidden="1"/>
    </xf>
    <xf numFmtId="0" fontId="96" fillId="0" borderId="0" xfId="67" applyFont="1" applyProtection="1">
      <protection hidden="1"/>
    </xf>
    <xf numFmtId="0" fontId="96" fillId="0" borderId="0" xfId="63" applyFont="1" applyProtection="1">
      <protection hidden="1"/>
    </xf>
    <xf numFmtId="0" fontId="85" fillId="0" borderId="10" xfId="63" applyFont="1" applyBorder="1" applyProtection="1">
      <protection hidden="1"/>
    </xf>
    <xf numFmtId="0" fontId="47" fillId="0" borderId="24" xfId="67" applyFont="1" applyBorder="1" applyProtection="1">
      <protection hidden="1"/>
    </xf>
    <xf numFmtId="0" fontId="141" fillId="0" borderId="0" xfId="63" applyFont="1" applyAlignment="1" applyProtection="1">
      <alignment horizontal="center"/>
      <protection hidden="1"/>
    </xf>
    <xf numFmtId="0" fontId="149" fillId="0" borderId="0" xfId="63" applyFont="1" applyAlignment="1" applyProtection="1">
      <alignment horizontal="center"/>
      <protection hidden="1"/>
    </xf>
    <xf numFmtId="0" fontId="47" fillId="44" borderId="0" xfId="0" applyFont="1" applyFill="1" applyAlignment="1" applyProtection="1">
      <alignment vertical="top" wrapText="1"/>
      <protection locked="0"/>
    </xf>
    <xf numFmtId="0" fontId="47" fillId="44" borderId="0" xfId="63" applyFont="1" applyFill="1" applyAlignment="1" applyProtection="1">
      <alignment horizontal="center"/>
      <protection locked="0"/>
    </xf>
    <xf numFmtId="0" fontId="47" fillId="44" borderId="0" xfId="0" applyFont="1" applyFill="1" applyProtection="1">
      <protection locked="0"/>
    </xf>
    <xf numFmtId="0" fontId="187" fillId="44" borderId="0" xfId="0" applyFont="1" applyFill="1" applyProtection="1">
      <protection locked="0"/>
    </xf>
    <xf numFmtId="0" fontId="47" fillId="44" borderId="0" xfId="105" applyFill="1" applyProtection="1">
      <protection locked="0"/>
    </xf>
    <xf numFmtId="0" fontId="47" fillId="44" borderId="0" xfId="67" applyFont="1" applyFill="1" applyProtection="1">
      <protection locked="0"/>
    </xf>
    <xf numFmtId="1" fontId="47" fillId="44" borderId="0" xfId="63" applyNumberFormat="1" applyFont="1" applyFill="1" applyAlignment="1" applyProtection="1">
      <alignment horizontal="center"/>
      <protection locked="0"/>
    </xf>
    <xf numFmtId="0" fontId="47" fillId="44" borderId="0" xfId="105" applyFill="1" applyAlignment="1" applyProtection="1">
      <alignment horizontal="center"/>
      <protection locked="0"/>
    </xf>
    <xf numFmtId="0" fontId="188" fillId="0" borderId="0" xfId="63" applyFont="1" applyProtection="1">
      <protection hidden="1"/>
    </xf>
    <xf numFmtId="0" fontId="47" fillId="0" borderId="0" xfId="105" applyProtection="1">
      <protection hidden="1"/>
    </xf>
    <xf numFmtId="0" fontId="85" fillId="0" borderId="0" xfId="0" applyFont="1" applyAlignment="1">
      <alignment horizontal="center"/>
    </xf>
    <xf numFmtId="1" fontId="47" fillId="44" borderId="0" xfId="67" applyNumberFormat="1" applyFont="1" applyFill="1" applyAlignment="1" applyProtection="1">
      <alignment horizontal="center"/>
      <protection locked="0"/>
    </xf>
    <xf numFmtId="0" fontId="47" fillId="44" borderId="0" xfId="63" applyFont="1" applyFill="1" applyAlignment="1" applyProtection="1">
      <alignment horizontal="left"/>
      <protection locked="0"/>
    </xf>
    <xf numFmtId="0" fontId="8" fillId="35" borderId="0" xfId="86" applyFont="1" applyFill="1" applyAlignment="1" applyProtection="1">
      <alignment horizontal="right"/>
      <protection hidden="1"/>
    </xf>
    <xf numFmtId="0" fontId="8" fillId="35" borderId="0" xfId="76" applyFont="1" applyFill="1" applyProtection="1">
      <protection hidden="1"/>
    </xf>
    <xf numFmtId="0" fontId="40" fillId="51" borderId="18" xfId="67" applyFont="1" applyFill="1" applyBorder="1" applyAlignment="1" applyProtection="1">
      <protection hidden="1"/>
    </xf>
    <xf numFmtId="0" fontId="11" fillId="38" borderId="0" xfId="66" applyFont="1" applyFill="1" applyBorder="1" applyProtection="1">
      <protection hidden="1"/>
    </xf>
    <xf numFmtId="0" fontId="3" fillId="35" borderId="0" xfId="84" applyFont="1" applyFill="1" applyBorder="1" applyProtection="1">
      <protection hidden="1"/>
    </xf>
    <xf numFmtId="165" fontId="3" fillId="35" borderId="0" xfId="0" applyNumberFormat="1" applyFont="1" applyFill="1" applyBorder="1" applyProtection="1">
      <protection hidden="1"/>
    </xf>
    <xf numFmtId="167" fontId="3" fillId="0" borderId="0" xfId="0" applyNumberFormat="1" applyFont="1" applyFill="1" applyProtection="1">
      <protection hidden="1"/>
    </xf>
    <xf numFmtId="0" fontId="3" fillId="35" borderId="0" xfId="0" applyFont="1" applyFill="1" applyBorder="1" applyProtection="1">
      <protection hidden="1"/>
    </xf>
    <xf numFmtId="0" fontId="3" fillId="0" borderId="0" xfId="84" applyFont="1" applyFill="1" applyBorder="1" applyProtection="1">
      <protection hidden="1"/>
    </xf>
    <xf numFmtId="0" fontId="1" fillId="0" borderId="0" xfId="69" applyFill="1" applyProtection="1">
      <protection hidden="1"/>
    </xf>
    <xf numFmtId="0" fontId="3" fillId="0" borderId="0" xfId="69" applyFont="1" applyFill="1" applyAlignment="1" applyProtection="1">
      <alignment horizontal="center"/>
      <protection hidden="1"/>
    </xf>
    <xf numFmtId="0" fontId="1" fillId="0" borderId="0" xfId="69" applyFill="1" applyBorder="1" applyProtection="1">
      <protection hidden="1"/>
    </xf>
    <xf numFmtId="0" fontId="3" fillId="0" borderId="0" xfId="69" applyFont="1" applyFill="1" applyBorder="1" applyProtection="1">
      <protection hidden="1"/>
    </xf>
    <xf numFmtId="0" fontId="136" fillId="35" borderId="0" xfId="81" applyFont="1" applyFill="1" applyAlignment="1" applyProtection="1">
      <protection hidden="1"/>
    </xf>
    <xf numFmtId="0" fontId="47" fillId="37" borderId="78" xfId="0" applyFont="1" applyFill="1" applyBorder="1" applyProtection="1">
      <protection locked="0"/>
    </xf>
    <xf numFmtId="0" fontId="126" fillId="37" borderId="75" xfId="63" applyFont="1" applyFill="1" applyBorder="1" applyAlignment="1" applyProtection="1">
      <protection locked="0"/>
    </xf>
    <xf numFmtId="0" fontId="126" fillId="37" borderId="78" xfId="63" applyFont="1" applyFill="1" applyBorder="1" applyAlignment="1" applyProtection="1">
      <protection locked="0"/>
    </xf>
    <xf numFmtId="0" fontId="126" fillId="37" borderId="81" xfId="63" applyFont="1" applyFill="1" applyBorder="1" applyAlignment="1" applyProtection="1">
      <protection locked="0"/>
    </xf>
    <xf numFmtId="0" fontId="5" fillId="0" borderId="84" xfId="69" applyFont="1" applyFill="1" applyBorder="1" applyAlignment="1" applyProtection="1">
      <alignment horizontal="center"/>
      <protection hidden="1"/>
    </xf>
    <xf numFmtId="0" fontId="5" fillId="0" borderId="85" xfId="69" applyFont="1" applyFill="1" applyBorder="1" applyAlignment="1" applyProtection="1">
      <alignment horizontal="center"/>
      <protection hidden="1"/>
    </xf>
    <xf numFmtId="49" fontId="5" fillId="37" borderId="84" xfId="0" applyNumberFormat="1" applyFont="1" applyFill="1" applyBorder="1" applyAlignment="1" applyProtection="1">
      <alignment horizontal="right"/>
      <protection locked="0"/>
    </xf>
    <xf numFmtId="49" fontId="5" fillId="37" borderId="85" xfId="0" applyNumberFormat="1" applyFont="1" applyFill="1" applyBorder="1" applyAlignment="1" applyProtection="1">
      <alignment horizontal="right"/>
      <protection locked="0"/>
    </xf>
    <xf numFmtId="0" fontId="5" fillId="37" borderId="84" xfId="0" applyFont="1" applyFill="1" applyBorder="1" applyAlignment="1" applyProtection="1">
      <alignment horizontal="right"/>
      <protection locked="0"/>
    </xf>
    <xf numFmtId="0" fontId="5" fillId="37" borderId="85" xfId="0" applyFont="1" applyFill="1" applyBorder="1" applyAlignment="1" applyProtection="1">
      <alignment horizontal="right"/>
      <protection locked="0"/>
    </xf>
    <xf numFmtId="0" fontId="5" fillId="37" borderId="84" xfId="0" applyFont="1" applyFill="1" applyBorder="1" applyAlignment="1" applyProtection="1">
      <protection locked="0"/>
    </xf>
    <xf numFmtId="0" fontId="5" fillId="37" borderId="85" xfId="0" applyFont="1" applyFill="1" applyBorder="1" applyAlignment="1" applyProtection="1">
      <protection locked="0"/>
    </xf>
    <xf numFmtId="0" fontId="5" fillId="37" borderId="77" xfId="0" applyFont="1" applyFill="1" applyBorder="1" applyAlignment="1" applyProtection="1">
      <protection locked="0"/>
    </xf>
    <xf numFmtId="0" fontId="11" fillId="51" borderId="0" xfId="63" applyFont="1" applyFill="1" applyBorder="1" applyAlignment="1" applyProtection="1">
      <alignment horizontal="left" vertical="top" wrapText="1"/>
      <protection hidden="1"/>
    </xf>
    <xf numFmtId="0" fontId="148" fillId="53" borderId="0" xfId="67" applyFont="1" applyFill="1" applyAlignment="1" applyProtection="1">
      <alignment vertical="top" wrapText="1"/>
      <protection hidden="1"/>
    </xf>
    <xf numFmtId="1" fontId="168" fillId="51" borderId="0" xfId="67" applyNumberFormat="1" applyFont="1" applyFill="1" applyAlignment="1" applyProtection="1">
      <alignment horizontal="left"/>
      <protection hidden="1"/>
    </xf>
    <xf numFmtId="0" fontId="168" fillId="51" borderId="0" xfId="67" applyFont="1" applyFill="1" applyAlignment="1" applyProtection="1">
      <alignment horizontal="left"/>
      <protection hidden="1"/>
    </xf>
    <xf numFmtId="0" fontId="168" fillId="51" borderId="0" xfId="67" applyFont="1" applyFill="1" applyProtection="1">
      <protection hidden="1"/>
    </xf>
    <xf numFmtId="0" fontId="3" fillId="51" borderId="0" xfId="66" applyFont="1" applyFill="1" applyBorder="1" applyAlignment="1" applyProtection="1">
      <alignment horizontal="left"/>
      <protection hidden="1"/>
    </xf>
    <xf numFmtId="0" fontId="1" fillId="51" borderId="0" xfId="69" applyFill="1"/>
    <xf numFmtId="0" fontId="60" fillId="44" borderId="0" xfId="67" applyFont="1" applyFill="1" applyBorder="1" applyAlignment="1" applyProtection="1">
      <alignment horizontal="right"/>
      <protection locked="0"/>
    </xf>
    <xf numFmtId="0" fontId="59" fillId="42" borderId="0" xfId="104" applyFont="1" applyFill="1" applyBorder="1" applyProtection="1">
      <protection hidden="1"/>
    </xf>
    <xf numFmtId="0" fontId="60" fillId="44" borderId="0" xfId="67" applyFont="1" applyFill="1" applyBorder="1" applyProtection="1">
      <protection locked="0"/>
    </xf>
    <xf numFmtId="1" fontId="168" fillId="35" borderId="0" xfId="67" applyNumberFormat="1" applyFont="1" applyFill="1" applyAlignment="1" applyProtection="1">
      <alignment horizontal="left"/>
      <protection hidden="1"/>
    </xf>
    <xf numFmtId="0" fontId="168" fillId="35" borderId="0" xfId="67" applyFont="1" applyFill="1" applyAlignment="1" applyProtection="1">
      <alignment horizontal="left"/>
      <protection hidden="1"/>
    </xf>
    <xf numFmtId="0" fontId="168" fillId="42" borderId="0" xfId="67" applyFont="1" applyFill="1" applyProtection="1">
      <protection hidden="1"/>
    </xf>
    <xf numFmtId="0" fontId="13" fillId="0" borderId="0" xfId="67" applyFont="1" applyAlignment="1" applyProtection="1">
      <alignment horizontal="right"/>
      <protection hidden="1"/>
    </xf>
    <xf numFmtId="0" fontId="11" fillId="0" borderId="0" xfId="69" applyFont="1" applyFill="1" applyBorder="1" applyProtection="1">
      <protection hidden="1"/>
    </xf>
    <xf numFmtId="1" fontId="3" fillId="0" borderId="0" xfId="69" applyNumberFormat="1" applyFont="1" applyFill="1" applyBorder="1" applyProtection="1">
      <protection hidden="1"/>
    </xf>
    <xf numFmtId="0" fontId="11" fillId="0" borderId="0" xfId="69" applyFont="1" applyFill="1" applyBorder="1" applyAlignment="1" applyProtection="1">
      <alignment horizontal="center"/>
      <protection hidden="1"/>
    </xf>
    <xf numFmtId="0" fontId="1" fillId="0" borderId="0" xfId="66" applyFill="1" applyAlignment="1" applyProtection="1">
      <alignment horizontal="centerContinuous"/>
      <protection hidden="1"/>
    </xf>
    <xf numFmtId="0" fontId="3" fillId="0" borderId="0" xfId="84" applyFill="1" applyProtection="1">
      <protection hidden="1"/>
    </xf>
    <xf numFmtId="49" fontId="33" fillId="0" borderId="0" xfId="66" applyNumberFormat="1" applyFont="1" applyFill="1" applyAlignment="1" applyProtection="1">
      <alignment vertical="center"/>
      <protection hidden="1"/>
    </xf>
    <xf numFmtId="0" fontId="33" fillId="0" borderId="0" xfId="66" applyFont="1" applyFill="1" applyAlignment="1" applyProtection="1">
      <alignment vertical="center"/>
      <protection hidden="1"/>
    </xf>
    <xf numFmtId="0" fontId="5" fillId="0" borderId="0" xfId="66" applyFont="1" applyFill="1" applyAlignment="1" applyProtection="1">
      <alignment horizontal="centerContinuous"/>
      <protection hidden="1"/>
    </xf>
    <xf numFmtId="0" fontId="5" fillId="0" borderId="0" xfId="66" applyFont="1" applyFill="1" applyAlignment="1" applyProtection="1">
      <alignment vertical="center"/>
      <protection hidden="1"/>
    </xf>
    <xf numFmtId="0" fontId="0" fillId="0" borderId="0" xfId="0" applyFill="1" applyBorder="1" applyAlignment="1" applyProtection="1">
      <protection hidden="1"/>
    </xf>
    <xf numFmtId="49" fontId="33" fillId="0" borderId="0" xfId="66" applyNumberFormat="1" applyFont="1" applyFill="1" applyBorder="1" applyAlignment="1" applyProtection="1">
      <alignment vertical="center"/>
      <protection hidden="1"/>
    </xf>
    <xf numFmtId="0" fontId="1" fillId="0" borderId="0" xfId="66" applyFill="1" applyBorder="1" applyProtection="1">
      <protection hidden="1"/>
    </xf>
    <xf numFmtId="0" fontId="33" fillId="0" borderId="0" xfId="66" applyFont="1" applyFill="1" applyBorder="1" applyAlignment="1" applyProtection="1">
      <alignment vertical="center"/>
      <protection hidden="1"/>
    </xf>
    <xf numFmtId="0" fontId="5" fillId="0" borderId="0" xfId="66" applyFont="1" applyFill="1" applyBorder="1" applyAlignment="1" applyProtection="1">
      <alignment vertical="center"/>
      <protection hidden="1"/>
    </xf>
    <xf numFmtId="0" fontId="5" fillId="0" borderId="0" xfId="66" applyFont="1" applyFill="1" applyAlignment="1" applyProtection="1">
      <protection hidden="1"/>
    </xf>
    <xf numFmtId="164" fontId="5" fillId="0" borderId="0" xfId="66" applyNumberFormat="1" applyFont="1" applyFill="1" applyAlignment="1" applyProtection="1">
      <protection hidden="1"/>
    </xf>
    <xf numFmtId="0" fontId="14" fillId="0" borderId="0" xfId="69" applyFont="1" applyFill="1" applyProtection="1">
      <protection hidden="1"/>
    </xf>
    <xf numFmtId="0" fontId="5" fillId="0" borderId="0" xfId="66" applyFont="1" applyFill="1" applyProtection="1">
      <protection hidden="1"/>
    </xf>
    <xf numFmtId="0" fontId="11" fillId="35" borderId="0" xfId="0" applyFont="1" applyFill="1" applyAlignment="1" applyProtection="1">
      <alignment vertical="top" wrapText="1"/>
      <protection hidden="1"/>
    </xf>
    <xf numFmtId="1" fontId="171" fillId="51" borderId="0" xfId="66" applyNumberFormat="1" applyFont="1" applyFill="1" applyBorder="1" applyProtection="1">
      <protection hidden="1"/>
    </xf>
    <xf numFmtId="0" fontId="168" fillId="51" borderId="0" xfId="66" applyFont="1" applyFill="1" applyBorder="1" applyAlignment="1" applyProtection="1">
      <alignment horizontal="left"/>
      <protection hidden="1"/>
    </xf>
    <xf numFmtId="0" fontId="3" fillId="51" borderId="0" xfId="66" applyFont="1" applyFill="1" applyBorder="1" applyAlignment="1" applyProtection="1">
      <protection hidden="1"/>
    </xf>
    <xf numFmtId="0" fontId="3" fillId="51" borderId="0" xfId="66" applyFont="1" applyFill="1" applyAlignment="1" applyProtection="1">
      <protection hidden="1"/>
    </xf>
    <xf numFmtId="0" fontId="89" fillId="51" borderId="0" xfId="73" applyFont="1" applyFill="1" applyBorder="1" applyAlignment="1" applyProtection="1">
      <protection hidden="1"/>
    </xf>
    <xf numFmtId="0" fontId="47" fillId="53" borderId="0" xfId="67" applyFont="1" applyFill="1" applyAlignment="1" applyProtection="1">
      <alignment horizontal="center"/>
      <protection hidden="1"/>
    </xf>
    <xf numFmtId="0" fontId="85" fillId="51" borderId="0" xfId="67" applyFont="1" applyFill="1" applyBorder="1" applyProtection="1">
      <protection hidden="1"/>
    </xf>
    <xf numFmtId="0" fontId="33" fillId="51" borderId="0" xfId="86" applyFont="1" applyFill="1" applyAlignment="1" applyProtection="1">
      <protection hidden="1"/>
    </xf>
    <xf numFmtId="0" fontId="0" fillId="0" borderId="0" xfId="0"/>
    <xf numFmtId="0" fontId="117" fillId="35" borderId="0" xfId="75" applyFont="1" applyFill="1" applyBorder="1" applyAlignment="1" applyProtection="1">
      <alignment horizontal="left" vertical="top"/>
      <protection hidden="1"/>
    </xf>
    <xf numFmtId="0" fontId="3" fillId="35" borderId="0" xfId="76" applyFont="1" applyFill="1" applyAlignment="1" applyProtection="1">
      <alignment horizontal="centerContinuous"/>
      <protection hidden="1"/>
    </xf>
    <xf numFmtId="0" fontId="3" fillId="38" borderId="17" xfId="86" applyFont="1" applyFill="1" applyBorder="1" applyProtection="1">
      <protection hidden="1"/>
    </xf>
    <xf numFmtId="0" fontId="52" fillId="35" borderId="0" xfId="50" applyFont="1" applyFill="1" applyAlignment="1" applyProtection="1">
      <alignment horizontal="right"/>
      <protection hidden="1"/>
    </xf>
    <xf numFmtId="0" fontId="3" fillId="35" borderId="0" xfId="86" applyFont="1" applyFill="1" applyProtection="1">
      <protection hidden="1"/>
    </xf>
    <xf numFmtId="0" fontId="158" fillId="35" borderId="0" xfId="76" applyFont="1" applyFill="1" applyAlignment="1" applyProtection="1">
      <alignment horizontal="left"/>
      <protection hidden="1"/>
    </xf>
    <xf numFmtId="0" fontId="3" fillId="35" borderId="17" xfId="69" applyFont="1" applyFill="1" applyBorder="1" applyAlignment="1" applyProtection="1">
      <alignment horizontal="center"/>
      <protection hidden="1"/>
    </xf>
    <xf numFmtId="0" fontId="3" fillId="41" borderId="17" xfId="69" applyFont="1" applyFill="1" applyBorder="1" applyAlignment="1" applyProtection="1">
      <alignment horizontal="center"/>
      <protection locked="0"/>
    </xf>
    <xf numFmtId="0" fontId="11" fillId="51" borderId="0" xfId="0" applyFont="1" applyFill="1" applyAlignment="1" applyProtection="1">
      <protection hidden="1"/>
    </xf>
    <xf numFmtId="0" fontId="3" fillId="51" borderId="31" xfId="76" applyFont="1" applyFill="1" applyBorder="1" applyAlignment="1" applyProtection="1">
      <protection hidden="1"/>
    </xf>
    <xf numFmtId="0" fontId="3" fillId="51" borderId="31" xfId="0" applyFont="1" applyFill="1" applyBorder="1" applyAlignment="1" applyProtection="1">
      <protection hidden="1"/>
    </xf>
    <xf numFmtId="0" fontId="3" fillId="0" borderId="10" xfId="76" applyFont="1" applyBorder="1" applyAlignment="1" applyProtection="1">
      <protection hidden="1"/>
    </xf>
    <xf numFmtId="0" fontId="3" fillId="0" borderId="18" xfId="76" applyFont="1" applyBorder="1" applyAlignment="1" applyProtection="1">
      <protection hidden="1"/>
    </xf>
    <xf numFmtId="0" fontId="13" fillId="0" borderId="25" xfId="76" applyFont="1" applyFill="1" applyBorder="1" applyAlignment="1" applyProtection="1">
      <alignment horizontal="center"/>
      <protection hidden="1"/>
    </xf>
    <xf numFmtId="164" fontId="13" fillId="0" borderId="25" xfId="76" applyNumberFormat="1" applyFont="1" applyFill="1" applyBorder="1" applyAlignment="1" applyProtection="1">
      <alignment horizontal="center"/>
      <protection hidden="1"/>
    </xf>
    <xf numFmtId="164" fontId="13" fillId="0" borderId="25" xfId="76" applyNumberFormat="1" applyFont="1" applyBorder="1" applyAlignment="1" applyProtection="1">
      <alignment horizontal="center"/>
      <protection hidden="1"/>
    </xf>
    <xf numFmtId="0" fontId="33" fillId="0" borderId="13" xfId="76" applyFont="1" applyBorder="1" applyAlignment="1" applyProtection="1">
      <protection hidden="1"/>
    </xf>
    <xf numFmtId="0" fontId="33" fillId="0" borderId="0" xfId="76" applyFont="1" applyFill="1" applyBorder="1" applyAlignment="1" applyProtection="1">
      <alignment horizontal="left"/>
      <protection hidden="1"/>
    </xf>
    <xf numFmtId="0" fontId="13" fillId="0" borderId="0" xfId="76" applyFont="1" applyFill="1" applyBorder="1" applyAlignment="1" applyProtection="1">
      <alignment horizontal="center"/>
      <protection hidden="1"/>
    </xf>
    <xf numFmtId="0" fontId="13" fillId="0" borderId="0" xfId="76" applyFont="1" applyBorder="1" applyAlignment="1" applyProtection="1">
      <alignment horizontal="center"/>
      <protection hidden="1"/>
    </xf>
    <xf numFmtId="0" fontId="13" fillId="0" borderId="0" xfId="86" applyFont="1" applyBorder="1" applyAlignment="1" applyProtection="1">
      <alignment horizontal="center"/>
      <protection hidden="1"/>
    </xf>
    <xf numFmtId="0" fontId="13" fillId="0" borderId="29" xfId="86" applyFont="1" applyBorder="1" applyAlignment="1" applyProtection="1">
      <alignment horizontal="center"/>
      <protection hidden="1"/>
    </xf>
    <xf numFmtId="0" fontId="3" fillId="7" borderId="51" xfId="76" applyFont="1" applyFill="1" applyBorder="1" applyAlignment="1" applyProtection="1">
      <protection locked="0"/>
    </xf>
    <xf numFmtId="0" fontId="3" fillId="7" borderId="52" xfId="76" applyFont="1" applyFill="1" applyBorder="1" applyAlignment="1" applyProtection="1">
      <protection locked="0"/>
    </xf>
    <xf numFmtId="1" fontId="13" fillId="0" borderId="15" xfId="58" applyNumberFormat="1" applyFont="1" applyFill="1" applyBorder="1" applyAlignment="1" applyProtection="1">
      <protection hidden="1"/>
    </xf>
    <xf numFmtId="0" fontId="13" fillId="0" borderId="0" xfId="76" applyFont="1" applyFill="1" applyBorder="1" applyAlignment="1" applyProtection="1">
      <protection locked="0"/>
    </xf>
    <xf numFmtId="0" fontId="13" fillId="38" borderId="0" xfId="76" applyFont="1" applyFill="1" applyBorder="1" applyAlignment="1" applyProtection="1">
      <protection locked="0"/>
    </xf>
    <xf numFmtId="0" fontId="13" fillId="0" borderId="0" xfId="76" applyFont="1" applyBorder="1" applyAlignment="1" applyProtection="1">
      <protection locked="0"/>
    </xf>
    <xf numFmtId="164" fontId="13" fillId="0" borderId="0" xfId="76" applyNumberFormat="1" applyFont="1" applyBorder="1" applyAlignment="1" applyProtection="1">
      <protection locked="0"/>
    </xf>
    <xf numFmtId="0" fontId="13" fillId="0" borderId="0" xfId="76" applyFont="1" applyFill="1" applyBorder="1" applyAlignment="1" applyProtection="1">
      <alignment horizontal="right"/>
      <protection locked="0"/>
    </xf>
    <xf numFmtId="164" fontId="13" fillId="38" borderId="0" xfId="76" applyNumberFormat="1" applyFont="1" applyFill="1" applyBorder="1" applyAlignment="1" applyProtection="1">
      <protection locked="0"/>
    </xf>
    <xf numFmtId="0" fontId="13" fillId="0" borderId="0" xfId="76" applyFont="1" applyBorder="1" applyAlignment="1" applyProtection="1">
      <alignment horizontal="right"/>
      <protection locked="0"/>
    </xf>
    <xf numFmtId="0" fontId="13" fillId="7" borderId="49" xfId="76" applyFont="1" applyFill="1" applyBorder="1" applyAlignment="1" applyProtection="1">
      <protection locked="0"/>
    </xf>
    <xf numFmtId="0" fontId="13" fillId="7" borderId="50" xfId="76" applyFont="1" applyFill="1" applyBorder="1" applyAlignment="1" applyProtection="1">
      <protection locked="0"/>
    </xf>
    <xf numFmtId="1" fontId="33" fillId="0" borderId="13" xfId="76" applyNumberFormat="1" applyFont="1" applyFill="1" applyBorder="1" applyAlignment="1" applyProtection="1">
      <protection hidden="1"/>
    </xf>
    <xf numFmtId="0" fontId="3" fillId="0" borderId="13" xfId="76" applyFont="1" applyFill="1" applyBorder="1" applyAlignment="1" applyProtection="1">
      <protection hidden="1"/>
    </xf>
    <xf numFmtId="14" fontId="3" fillId="0" borderId="13" xfId="76" applyNumberFormat="1" applyFont="1" applyFill="1" applyBorder="1" applyAlignment="1" applyProtection="1">
      <alignment horizontal="left"/>
      <protection hidden="1"/>
    </xf>
    <xf numFmtId="0" fontId="3" fillId="0" borderId="0" xfId="76" applyFont="1" applyFill="1" applyBorder="1" applyAlignment="1" applyProtection="1">
      <protection hidden="1"/>
    </xf>
    <xf numFmtId="164" fontId="13" fillId="0" borderId="0" xfId="76" applyNumberFormat="1" applyFont="1" applyFill="1" applyBorder="1" applyAlignment="1" applyProtection="1">
      <alignment horizontal="center"/>
      <protection hidden="1"/>
    </xf>
    <xf numFmtId="0" fontId="33" fillId="0" borderId="13" xfId="76" applyFont="1" applyFill="1" applyBorder="1" applyAlignment="1" applyProtection="1">
      <protection hidden="1"/>
    </xf>
    <xf numFmtId="9" fontId="3" fillId="7" borderId="13" xfId="76" applyNumberFormat="1" applyFont="1" applyFill="1" applyBorder="1" applyAlignment="1" applyProtection="1">
      <protection locked="0"/>
    </xf>
    <xf numFmtId="0" fontId="13" fillId="38" borderId="0" xfId="76" applyFont="1" applyFill="1" applyBorder="1" applyAlignment="1" applyProtection="1">
      <alignment horizontal="right"/>
      <protection locked="0"/>
    </xf>
    <xf numFmtId="0" fontId="3" fillId="7" borderId="51" xfId="76" applyFont="1" applyFill="1" applyBorder="1" applyProtection="1">
      <protection locked="0"/>
    </xf>
    <xf numFmtId="0" fontId="3" fillId="7" borderId="52" xfId="76" applyFont="1" applyFill="1" applyBorder="1" applyProtection="1">
      <protection locked="0"/>
    </xf>
    <xf numFmtId="1" fontId="13" fillId="0" borderId="15" xfId="58" applyNumberFormat="1" applyFont="1" applyFill="1" applyBorder="1" applyProtection="1">
      <protection hidden="1"/>
    </xf>
    <xf numFmtId="0" fontId="13" fillId="0" borderId="0" xfId="76" applyFont="1" applyBorder="1" applyProtection="1">
      <protection locked="0"/>
    </xf>
    <xf numFmtId="0" fontId="169" fillId="0" borderId="0" xfId="76" applyFont="1" applyBorder="1" applyAlignment="1" applyProtection="1">
      <alignment horizontal="right"/>
      <protection locked="0"/>
    </xf>
    <xf numFmtId="164" fontId="13" fillId="38" borderId="0" xfId="76" applyNumberFormat="1" applyFont="1" applyFill="1" applyBorder="1" applyProtection="1">
      <protection locked="0"/>
    </xf>
    <xf numFmtId="0" fontId="13" fillId="38" borderId="0" xfId="76" applyFont="1" applyFill="1" applyBorder="1" applyProtection="1">
      <protection locked="0"/>
    </xf>
    <xf numFmtId="164" fontId="13" fillId="0" borderId="0" xfId="76" applyNumberFormat="1" applyFont="1" applyBorder="1" applyProtection="1">
      <protection locked="0"/>
    </xf>
    <xf numFmtId="1" fontId="11" fillId="0" borderId="15" xfId="58" applyNumberFormat="1" applyFont="1" applyFill="1" applyBorder="1" applyProtection="1">
      <protection hidden="1"/>
    </xf>
    <xf numFmtId="1" fontId="13" fillId="38" borderId="0" xfId="76" applyNumberFormat="1" applyFont="1" applyFill="1" applyBorder="1" applyProtection="1">
      <protection locked="0"/>
    </xf>
    <xf numFmtId="2" fontId="169" fillId="52" borderId="52" xfId="76" applyNumberFormat="1" applyFont="1" applyFill="1" applyBorder="1" applyAlignment="1" applyProtection="1">
      <alignment horizontal="center"/>
      <protection hidden="1"/>
    </xf>
    <xf numFmtId="1" fontId="171" fillId="7" borderId="15" xfId="58" applyNumberFormat="1" applyFont="1" applyFill="1" applyBorder="1" applyProtection="1">
      <protection locked="0"/>
    </xf>
    <xf numFmtId="0" fontId="11" fillId="7" borderId="51" xfId="76" applyFont="1" applyFill="1" applyBorder="1" applyProtection="1">
      <protection locked="0"/>
    </xf>
    <xf numFmtId="0" fontId="11" fillId="7" borderId="52" xfId="76" applyFont="1" applyFill="1" applyBorder="1" applyProtection="1">
      <protection locked="0"/>
    </xf>
    <xf numFmtId="0" fontId="13" fillId="0" borderId="0" xfId="76" applyFont="1" applyFill="1" applyBorder="1" applyProtection="1">
      <protection locked="0"/>
    </xf>
    <xf numFmtId="0" fontId="47" fillId="7" borderId="0" xfId="67" applyFont="1" applyFill="1" applyProtection="1">
      <protection locked="0"/>
    </xf>
    <xf numFmtId="0" fontId="3" fillId="0" borderId="15" xfId="86" applyFont="1" applyBorder="1" applyAlignment="1" applyProtection="1">
      <protection hidden="1"/>
    </xf>
    <xf numFmtId="1" fontId="33" fillId="0" borderId="0" xfId="76" applyNumberFormat="1" applyFont="1" applyFill="1" applyBorder="1" applyAlignment="1" applyProtection="1">
      <protection hidden="1"/>
    </xf>
    <xf numFmtId="0" fontId="3" fillId="41" borderId="0" xfId="86" applyFont="1" applyFill="1" applyAlignment="1" applyProtection="1">
      <protection locked="0"/>
    </xf>
    <xf numFmtId="0" fontId="3" fillId="35" borderId="0" xfId="86" applyFont="1" applyFill="1" applyBorder="1" applyAlignment="1" applyProtection="1">
      <protection hidden="1"/>
    </xf>
    <xf numFmtId="0" fontId="13" fillId="0" borderId="15" xfId="76" applyFont="1" applyFill="1" applyBorder="1" applyAlignment="1" applyProtection="1">
      <protection hidden="1"/>
    </xf>
    <xf numFmtId="0" fontId="11" fillId="0" borderId="13" xfId="76" applyFont="1" applyFill="1" applyBorder="1" applyAlignment="1" applyProtection="1">
      <alignment horizontal="left"/>
      <protection hidden="1"/>
    </xf>
    <xf numFmtId="0" fontId="11" fillId="0" borderId="0" xfId="76" applyFont="1" applyFill="1" applyBorder="1" applyAlignment="1" applyProtection="1">
      <alignment horizontal="center"/>
      <protection hidden="1"/>
    </xf>
    <xf numFmtId="0" fontId="3" fillId="7" borderId="49" xfId="76" applyFont="1" applyFill="1" applyBorder="1" applyAlignment="1" applyProtection="1">
      <protection locked="0"/>
    </xf>
    <xf numFmtId="0" fontId="3" fillId="7" borderId="50" xfId="76" applyFont="1" applyFill="1" applyBorder="1" applyAlignment="1" applyProtection="1">
      <protection locked="0"/>
    </xf>
    <xf numFmtId="164" fontId="13" fillId="0" borderId="0" xfId="76" applyNumberFormat="1" applyFont="1" applyBorder="1" applyAlignment="1" applyProtection="1">
      <alignment horizontal="right"/>
      <protection locked="0"/>
    </xf>
    <xf numFmtId="164" fontId="13" fillId="38" borderId="0" xfId="76" applyNumberFormat="1" applyFont="1" applyFill="1" applyBorder="1" applyAlignment="1" applyProtection="1">
      <alignment horizontal="right"/>
      <protection locked="0"/>
    </xf>
    <xf numFmtId="0" fontId="3" fillId="0" borderId="13" xfId="86" applyFont="1" applyFill="1" applyBorder="1" applyAlignment="1" applyProtection="1">
      <protection hidden="1"/>
    </xf>
    <xf numFmtId="0" fontId="13" fillId="0" borderId="0" xfId="76" applyFont="1" applyFill="1" applyBorder="1" applyAlignment="1" applyProtection="1">
      <protection hidden="1"/>
    </xf>
    <xf numFmtId="0" fontId="13" fillId="0" borderId="0" xfId="76" applyFont="1" applyFill="1" applyBorder="1" applyAlignment="1" applyProtection="1">
      <alignment horizontal="right"/>
      <protection hidden="1"/>
    </xf>
    <xf numFmtId="0" fontId="3" fillId="0" borderId="0" xfId="76" applyFont="1" applyFill="1" applyAlignment="1" applyProtection="1">
      <alignment horizontal="centerContinuous"/>
      <protection hidden="1"/>
    </xf>
    <xf numFmtId="1" fontId="3" fillId="0" borderId="48" xfId="86" applyNumberFormat="1" applyFont="1" applyBorder="1" applyAlignment="1" applyProtection="1">
      <protection hidden="1"/>
    </xf>
    <xf numFmtId="0" fontId="3" fillId="0" borderId="0" xfId="86" applyFont="1" applyBorder="1" applyAlignment="1" applyProtection="1">
      <alignment horizontal="center"/>
      <protection hidden="1"/>
    </xf>
    <xf numFmtId="0" fontId="13" fillId="0" borderId="48" xfId="86" applyFont="1" applyFill="1" applyBorder="1" applyAlignment="1" applyProtection="1">
      <alignment horizontal="center"/>
      <protection hidden="1"/>
    </xf>
    <xf numFmtId="0" fontId="3" fillId="41" borderId="0" xfId="76" applyFont="1" applyFill="1" applyBorder="1" applyAlignment="1" applyProtection="1">
      <protection locked="0"/>
    </xf>
    <xf numFmtId="0" fontId="13" fillId="38" borderId="0" xfId="76" quotePrefix="1" applyFont="1" applyFill="1" applyBorder="1" applyAlignment="1" applyProtection="1">
      <protection locked="0"/>
    </xf>
    <xf numFmtId="9" fontId="3" fillId="7" borderId="20" xfId="76" applyNumberFormat="1" applyFont="1" applyFill="1" applyBorder="1" applyAlignment="1" applyProtection="1">
      <protection locked="0"/>
    </xf>
    <xf numFmtId="0" fontId="3" fillId="41" borderId="14" xfId="76" applyFont="1" applyFill="1" applyBorder="1" applyAlignment="1" applyProtection="1">
      <protection locked="0"/>
    </xf>
    <xf numFmtId="1" fontId="13" fillId="0" borderId="23" xfId="58" applyNumberFormat="1" applyFont="1" applyFill="1" applyBorder="1" applyAlignment="1" applyProtection="1">
      <protection hidden="1"/>
    </xf>
    <xf numFmtId="0" fontId="13" fillId="0" borderId="31" xfId="76" applyFont="1" applyBorder="1" applyAlignment="1" applyProtection="1">
      <protection locked="0"/>
    </xf>
    <xf numFmtId="0" fontId="33" fillId="35" borderId="0" xfId="69" applyFont="1" applyFill="1" applyBorder="1" applyAlignment="1" applyProtection="1">
      <alignment horizontal="center"/>
      <protection hidden="1"/>
    </xf>
    <xf numFmtId="0" fontId="33" fillId="35" borderId="0" xfId="84" applyFont="1" applyFill="1" applyBorder="1" applyAlignment="1" applyProtection="1">
      <protection hidden="1"/>
    </xf>
    <xf numFmtId="1" fontId="3" fillId="35" borderId="0" xfId="76" applyNumberFormat="1" applyFont="1" applyFill="1" applyBorder="1" applyAlignment="1" applyProtection="1">
      <protection hidden="1"/>
    </xf>
    <xf numFmtId="164" fontId="13" fillId="35" borderId="0" xfId="76" applyNumberFormat="1" applyFont="1" applyFill="1" applyBorder="1" applyAlignment="1" applyProtection="1">
      <alignment horizontal="center"/>
      <protection hidden="1"/>
    </xf>
    <xf numFmtId="0" fontId="13" fillId="35" borderId="0" xfId="76" applyFont="1" applyFill="1" applyBorder="1" applyAlignment="1" applyProtection="1">
      <alignment horizontal="center"/>
      <protection hidden="1"/>
    </xf>
    <xf numFmtId="0" fontId="3" fillId="35" borderId="0" xfId="86" applyFont="1" applyFill="1" applyAlignment="1" applyProtection="1">
      <alignment horizontal="center"/>
      <protection hidden="1"/>
    </xf>
    <xf numFmtId="1" fontId="13" fillId="35" borderId="33" xfId="76" applyNumberFormat="1" applyFont="1" applyFill="1" applyBorder="1" applyAlignment="1" applyProtection="1">
      <protection hidden="1"/>
    </xf>
    <xf numFmtId="0" fontId="13" fillId="35" borderId="34" xfId="69" applyFont="1" applyFill="1" applyBorder="1" applyAlignment="1" applyProtection="1">
      <alignment horizontal="center"/>
      <protection hidden="1"/>
    </xf>
    <xf numFmtId="0" fontId="13" fillId="35" borderId="35" xfId="69" applyFont="1" applyFill="1" applyBorder="1" applyAlignment="1" applyProtection="1">
      <alignment horizontal="center"/>
      <protection hidden="1"/>
    </xf>
    <xf numFmtId="164" fontId="13" fillId="0" borderId="31" xfId="76" applyNumberFormat="1" applyFont="1" applyFill="1" applyBorder="1" applyAlignment="1" applyProtection="1">
      <alignment horizontal="center"/>
      <protection hidden="1"/>
    </xf>
    <xf numFmtId="2" fontId="13" fillId="0" borderId="31" xfId="76" applyNumberFormat="1" applyFont="1" applyFill="1" applyBorder="1" applyAlignment="1" applyProtection="1">
      <alignment horizontal="center"/>
      <protection hidden="1"/>
    </xf>
    <xf numFmtId="165" fontId="13" fillId="0" borderId="32" xfId="76" applyNumberFormat="1" applyFont="1" applyFill="1" applyBorder="1" applyAlignment="1" applyProtection="1">
      <alignment horizontal="center"/>
      <protection hidden="1"/>
    </xf>
    <xf numFmtId="0" fontId="3" fillId="35" borderId="0" xfId="76" applyFont="1" applyFill="1" applyBorder="1" applyAlignment="1" applyProtection="1">
      <alignment horizontal="center"/>
      <protection hidden="1"/>
    </xf>
    <xf numFmtId="0" fontId="3" fillId="51" borderId="0" xfId="76" applyFont="1" applyFill="1" applyBorder="1" applyAlignment="1" applyProtection="1">
      <protection hidden="1"/>
    </xf>
    <xf numFmtId="0" fontId="3" fillId="51" borderId="0" xfId="86" applyFont="1" applyFill="1" applyAlignment="1" applyProtection="1">
      <protection hidden="1"/>
    </xf>
    <xf numFmtId="1" fontId="3" fillId="35" borderId="0" xfId="58" applyNumberFormat="1" applyFont="1" applyFill="1" applyBorder="1" applyAlignment="1" applyProtection="1">
      <protection hidden="1"/>
    </xf>
    <xf numFmtId="0" fontId="3" fillId="0" borderId="0" xfId="76" applyFont="1" applyBorder="1" applyAlignment="1" applyProtection="1">
      <protection hidden="1"/>
    </xf>
    <xf numFmtId="0" fontId="189" fillId="35" borderId="0" xfId="71" applyFont="1" applyFill="1" applyAlignment="1" applyProtection="1">
      <protection hidden="1"/>
    </xf>
    <xf numFmtId="2" fontId="3" fillId="51" borderId="0" xfId="58" applyNumberFormat="1" applyFont="1" applyFill="1" applyBorder="1" applyAlignment="1" applyProtection="1">
      <protection hidden="1"/>
    </xf>
    <xf numFmtId="2" fontId="3" fillId="35" borderId="0" xfId="58" applyNumberFormat="1" applyFont="1" applyFill="1" applyBorder="1" applyAlignment="1" applyProtection="1">
      <protection hidden="1"/>
    </xf>
    <xf numFmtId="0" fontId="32" fillId="35" borderId="0" xfId="86" applyFont="1" applyFill="1" applyAlignment="1" applyProtection="1">
      <protection hidden="1"/>
    </xf>
    <xf numFmtId="0" fontId="32" fillId="35" borderId="29" xfId="86" applyFont="1" applyFill="1" applyBorder="1" applyAlignment="1" applyProtection="1">
      <protection hidden="1"/>
    </xf>
    <xf numFmtId="0" fontId="3" fillId="35" borderId="0" xfId="76" applyFont="1" applyFill="1" applyBorder="1" applyAlignment="1" applyProtection="1">
      <alignment vertical="center"/>
      <protection hidden="1"/>
    </xf>
    <xf numFmtId="0" fontId="13" fillId="35" borderId="0" xfId="76" applyFont="1" applyFill="1" applyAlignment="1" applyProtection="1">
      <alignment vertical="center"/>
      <protection hidden="1"/>
    </xf>
    <xf numFmtId="164" fontId="13" fillId="35" borderId="0" xfId="76" applyNumberFormat="1" applyFont="1" applyFill="1" applyBorder="1" applyProtection="1">
      <protection hidden="1"/>
    </xf>
    <xf numFmtId="0" fontId="13" fillId="35" borderId="0" xfId="86" applyFont="1" applyFill="1" applyProtection="1">
      <protection hidden="1"/>
    </xf>
    <xf numFmtId="0" fontId="13" fillId="35" borderId="0" xfId="86" applyFont="1" applyFill="1" applyAlignment="1" applyProtection="1">
      <alignment vertical="center"/>
      <protection hidden="1"/>
    </xf>
    <xf numFmtId="0" fontId="3" fillId="35" borderId="0" xfId="76" applyFont="1" applyFill="1" applyAlignment="1" applyProtection="1">
      <alignment vertical="center"/>
      <protection hidden="1"/>
    </xf>
    <xf numFmtId="0" fontId="3" fillId="35" borderId="0" xfId="86" applyFont="1" applyFill="1" applyAlignment="1" applyProtection="1">
      <alignment vertical="center"/>
      <protection hidden="1"/>
    </xf>
    <xf numFmtId="0" fontId="11" fillId="35" borderId="0" xfId="86" applyFont="1" applyFill="1" applyAlignment="1" applyProtection="1">
      <alignment vertical="top"/>
      <protection hidden="1"/>
    </xf>
    <xf numFmtId="0" fontId="11" fillId="35" borderId="0" xfId="86" applyFont="1" applyFill="1" applyProtection="1">
      <protection hidden="1"/>
    </xf>
    <xf numFmtId="0" fontId="3" fillId="7" borderId="18" xfId="0" applyFont="1" applyFill="1" applyBorder="1" applyAlignment="1" applyProtection="1">
      <alignment horizontal="right"/>
      <protection hidden="1"/>
    </xf>
    <xf numFmtId="0" fontId="97" fillId="35" borderId="24" xfId="76" applyFont="1" applyFill="1" applyBorder="1" applyAlignment="1" applyProtection="1">
      <protection hidden="1"/>
    </xf>
    <xf numFmtId="0" fontId="3" fillId="35" borderId="0" xfId="0" applyFont="1" applyFill="1" applyBorder="1" applyAlignment="1" applyProtection="1">
      <alignment horizontal="left" vertical="top" wrapText="1"/>
      <protection hidden="1"/>
    </xf>
    <xf numFmtId="0" fontId="3" fillId="35" borderId="0" xfId="0" applyFont="1" applyFill="1" applyBorder="1" applyAlignment="1" applyProtection="1">
      <alignment vertical="top" wrapText="1"/>
      <protection hidden="1"/>
    </xf>
    <xf numFmtId="0" fontId="3" fillId="35" borderId="0" xfId="0" applyFont="1" applyFill="1" applyBorder="1" applyAlignment="1" applyProtection="1">
      <alignment horizontal="center" vertical="top" wrapText="1"/>
      <protection hidden="1"/>
    </xf>
    <xf numFmtId="2" fontId="52" fillId="35" borderId="0" xfId="46" applyNumberFormat="1" applyFont="1" applyFill="1" applyAlignment="1" applyProtection="1">
      <protection hidden="1"/>
    </xf>
    <xf numFmtId="0" fontId="3" fillId="35" borderId="0" xfId="76" applyFont="1" applyFill="1" applyProtection="1">
      <protection hidden="1"/>
    </xf>
    <xf numFmtId="1" fontId="15" fillId="35" borderId="0" xfId="76" applyNumberFormat="1" applyFont="1" applyFill="1" applyBorder="1" applyProtection="1">
      <protection hidden="1"/>
    </xf>
    <xf numFmtId="2" fontId="13" fillId="35" borderId="0" xfId="76" applyNumberFormat="1" applyFont="1" applyFill="1" applyBorder="1" applyProtection="1">
      <protection hidden="1"/>
    </xf>
    <xf numFmtId="0" fontId="15" fillId="51" borderId="0" xfId="76" applyFont="1" applyFill="1" applyProtection="1">
      <protection hidden="1"/>
    </xf>
    <xf numFmtId="2" fontId="15" fillId="51" borderId="0" xfId="76" applyNumberFormat="1" applyFont="1" applyFill="1" applyBorder="1" applyProtection="1">
      <protection hidden="1"/>
    </xf>
    <xf numFmtId="0" fontId="3" fillId="51" borderId="0" xfId="86" applyFont="1" applyFill="1" applyProtection="1">
      <protection hidden="1"/>
    </xf>
    <xf numFmtId="2" fontId="3" fillId="35" borderId="0" xfId="74" applyNumberFormat="1" applyFont="1" applyFill="1" applyProtection="1">
      <protection hidden="1"/>
    </xf>
    <xf numFmtId="1" fontId="3" fillId="35" borderId="0" xfId="76" applyNumberFormat="1" applyFont="1" applyFill="1" applyProtection="1">
      <protection hidden="1"/>
    </xf>
    <xf numFmtId="2" fontId="13" fillId="51" borderId="0" xfId="76" applyNumberFormat="1" applyFont="1" applyFill="1" applyBorder="1" applyAlignment="1" applyProtection="1">
      <protection hidden="1"/>
    </xf>
    <xf numFmtId="0" fontId="13" fillId="51" borderId="0" xfId="76" applyFont="1" applyFill="1" applyAlignment="1" applyProtection="1">
      <protection hidden="1"/>
    </xf>
    <xf numFmtId="2" fontId="13" fillId="51" borderId="0" xfId="76" applyNumberFormat="1" applyFont="1" applyFill="1" applyAlignment="1" applyProtection="1">
      <protection hidden="1"/>
    </xf>
    <xf numFmtId="171" fontId="3" fillId="35" borderId="0" xfId="74" applyNumberFormat="1" applyFont="1" applyFill="1" applyProtection="1">
      <protection hidden="1"/>
    </xf>
    <xf numFmtId="0" fontId="11" fillId="35" borderId="0" xfId="76" applyFont="1" applyFill="1" applyAlignment="1" applyProtection="1">
      <alignment horizontal="right"/>
      <protection hidden="1"/>
    </xf>
    <xf numFmtId="0" fontId="13" fillId="35" borderId="0" xfId="76" applyFont="1" applyFill="1" applyProtection="1">
      <protection hidden="1"/>
    </xf>
    <xf numFmtId="0" fontId="3" fillId="35" borderId="0" xfId="86" applyFont="1" applyFill="1" applyBorder="1" applyProtection="1">
      <protection hidden="1"/>
    </xf>
    <xf numFmtId="2" fontId="11" fillId="35" borderId="0" xfId="76" applyNumberFormat="1" applyFont="1" applyFill="1" applyProtection="1">
      <protection hidden="1"/>
    </xf>
    <xf numFmtId="2" fontId="13" fillId="35" borderId="0" xfId="76" applyNumberFormat="1" applyFont="1" applyFill="1" applyAlignment="1" applyProtection="1">
      <alignment horizontal="right"/>
      <protection hidden="1"/>
    </xf>
    <xf numFmtId="0" fontId="11" fillId="35" borderId="0" xfId="71" applyFont="1" applyFill="1" applyAlignment="1" applyProtection="1">
      <alignment wrapText="1"/>
      <protection hidden="1"/>
    </xf>
    <xf numFmtId="0" fontId="3" fillId="35" borderId="0" xfId="0" applyFont="1" applyFill="1" applyAlignment="1" applyProtection="1">
      <alignment wrapText="1"/>
      <protection hidden="1"/>
    </xf>
    <xf numFmtId="0" fontId="199" fillId="35" borderId="0" xfId="0" applyFont="1" applyFill="1" applyAlignment="1" applyProtection="1">
      <protection hidden="1"/>
    </xf>
    <xf numFmtId="164" fontId="3" fillId="35" borderId="0" xfId="74" applyNumberFormat="1" applyFont="1" applyFill="1" applyBorder="1" applyProtection="1">
      <protection hidden="1"/>
    </xf>
    <xf numFmtId="0" fontId="11" fillId="35" borderId="0" xfId="76" applyFont="1" applyFill="1" applyBorder="1" applyAlignment="1" applyProtection="1">
      <alignment horizontal="right"/>
      <protection hidden="1"/>
    </xf>
    <xf numFmtId="0" fontId="3" fillId="35" borderId="0" xfId="76" applyFont="1" applyFill="1" applyBorder="1" applyProtection="1">
      <protection hidden="1"/>
    </xf>
    <xf numFmtId="2" fontId="3" fillId="35" borderId="0" xfId="0" applyNumberFormat="1" applyFont="1" applyFill="1" applyAlignment="1" applyProtection="1">
      <protection hidden="1"/>
    </xf>
    <xf numFmtId="0" fontId="3" fillId="0" borderId="17" xfId="86" applyFont="1" applyBorder="1" applyAlignment="1" applyProtection="1">
      <alignment horizontal="center"/>
      <protection hidden="1"/>
    </xf>
    <xf numFmtId="0" fontId="3" fillId="51" borderId="0" xfId="86" applyFont="1" applyFill="1" applyBorder="1" applyProtection="1">
      <protection hidden="1"/>
    </xf>
    <xf numFmtId="2" fontId="3" fillId="51" borderId="0" xfId="65" applyNumberFormat="1" applyFont="1" applyFill="1" applyBorder="1" applyProtection="1">
      <protection hidden="1"/>
    </xf>
    <xf numFmtId="1" fontId="3" fillId="51" borderId="0" xfId="76" applyNumberFormat="1" applyFont="1" applyFill="1" applyProtection="1">
      <protection hidden="1"/>
    </xf>
    <xf numFmtId="0" fontId="3" fillId="51" borderId="0" xfId="76" applyFont="1" applyFill="1" applyBorder="1" applyProtection="1">
      <protection hidden="1"/>
    </xf>
    <xf numFmtId="164" fontId="3" fillId="51" borderId="0" xfId="86" applyNumberFormat="1" applyFont="1" applyFill="1" applyProtection="1">
      <protection hidden="1"/>
    </xf>
    <xf numFmtId="1" fontId="11" fillId="51" borderId="0" xfId="76" applyNumberFormat="1" applyFont="1" applyFill="1" applyAlignment="1" applyProtection="1">
      <protection hidden="1"/>
    </xf>
    <xf numFmtId="0" fontId="11" fillId="51" borderId="0" xfId="86" applyFont="1" applyFill="1" applyProtection="1">
      <protection hidden="1"/>
    </xf>
    <xf numFmtId="2" fontId="3" fillId="51" borderId="0" xfId="0" applyNumberFormat="1" applyFont="1" applyFill="1" applyAlignment="1" applyProtection="1">
      <protection hidden="1"/>
    </xf>
    <xf numFmtId="2" fontId="3" fillId="51" borderId="0" xfId="0" applyNumberFormat="1" applyFont="1" applyFill="1" applyAlignment="1" applyProtection="1">
      <alignment readingOrder="1"/>
      <protection hidden="1"/>
    </xf>
    <xf numFmtId="0" fontId="11" fillId="51" borderId="0" xfId="86" applyFont="1" applyFill="1" applyAlignment="1" applyProtection="1">
      <alignment horizontal="right"/>
      <protection hidden="1"/>
    </xf>
    <xf numFmtId="164" fontId="11" fillId="51" borderId="0" xfId="86" applyNumberFormat="1" applyFont="1" applyFill="1" applyProtection="1">
      <protection hidden="1"/>
    </xf>
    <xf numFmtId="0" fontId="11" fillId="51" borderId="0" xfId="76" applyFont="1" applyFill="1" applyProtection="1">
      <protection hidden="1"/>
    </xf>
    <xf numFmtId="0" fontId="11" fillId="35" borderId="0" xfId="76" applyFont="1" applyFill="1" applyBorder="1" applyProtection="1">
      <protection hidden="1"/>
    </xf>
    <xf numFmtId="0" fontId="3" fillId="35" borderId="11" xfId="59" applyFont="1" applyFill="1" applyBorder="1" applyAlignment="1" applyProtection="1">
      <alignment horizontal="center"/>
      <protection hidden="1"/>
    </xf>
    <xf numFmtId="0" fontId="3" fillId="35" borderId="12" xfId="74" applyFont="1" applyFill="1" applyBorder="1" applyAlignment="1" applyProtection="1">
      <alignment horizontal="center"/>
      <protection hidden="1"/>
    </xf>
    <xf numFmtId="0" fontId="3" fillId="35" borderId="12" xfId="71" applyFont="1" applyFill="1" applyBorder="1" applyAlignment="1" applyProtection="1">
      <alignment horizontal="center"/>
      <protection hidden="1"/>
    </xf>
    <xf numFmtId="0" fontId="3" fillId="35" borderId="20" xfId="74" applyFont="1" applyFill="1" applyBorder="1" applyAlignment="1" applyProtection="1">
      <alignment horizontal="center"/>
      <protection hidden="1"/>
    </xf>
    <xf numFmtId="0" fontId="3" fillId="35" borderId="23" xfId="74" applyFont="1" applyFill="1" applyBorder="1" applyAlignment="1" applyProtection="1">
      <alignment horizontal="center"/>
      <protection hidden="1"/>
    </xf>
    <xf numFmtId="1" fontId="3" fillId="0" borderId="12" xfId="59" applyNumberFormat="1" applyFont="1" applyFill="1" applyBorder="1" applyAlignment="1" applyProtection="1">
      <alignment horizontal="center"/>
      <protection hidden="1"/>
    </xf>
    <xf numFmtId="1" fontId="3" fillId="35" borderId="12" xfId="86" applyNumberFormat="1" applyFont="1" applyFill="1" applyBorder="1" applyAlignment="1" applyProtection="1">
      <alignment horizontal="center"/>
      <protection hidden="1"/>
    </xf>
    <xf numFmtId="49" fontId="3" fillId="35" borderId="0" xfId="76" applyNumberFormat="1" applyFont="1" applyFill="1" applyBorder="1" applyProtection="1">
      <protection hidden="1"/>
    </xf>
    <xf numFmtId="0" fontId="3" fillId="35" borderId="0" xfId="74" applyFont="1" applyFill="1" applyAlignment="1" applyProtection="1">
      <alignment horizontal="left"/>
      <protection hidden="1"/>
    </xf>
    <xf numFmtId="0" fontId="20" fillId="35" borderId="0" xfId="0" applyFont="1" applyFill="1" applyBorder="1" applyAlignment="1" applyProtection="1">
      <protection hidden="1"/>
    </xf>
    <xf numFmtId="0" fontId="3" fillId="41" borderId="16" xfId="74" applyNumberFormat="1" applyFont="1" applyFill="1" applyBorder="1" applyAlignment="1" applyProtection="1">
      <alignment horizontal="center"/>
      <protection locked="0"/>
    </xf>
    <xf numFmtId="164" fontId="3" fillId="35" borderId="0" xfId="74" applyNumberFormat="1" applyFont="1" applyFill="1" applyProtection="1">
      <protection hidden="1"/>
    </xf>
    <xf numFmtId="0" fontId="3" fillId="35" borderId="0" xfId="0" applyFont="1" applyFill="1" applyBorder="1" applyAlignment="1" applyProtection="1">
      <alignment vertical="center"/>
      <protection hidden="1"/>
    </xf>
    <xf numFmtId="0" fontId="3" fillId="35" borderId="13" xfId="74" applyFont="1" applyFill="1" applyBorder="1" applyProtection="1">
      <protection hidden="1"/>
    </xf>
    <xf numFmtId="164" fontId="3" fillId="51" borderId="17" xfId="74" applyNumberFormat="1" applyFont="1" applyFill="1" applyBorder="1" applyAlignment="1" applyProtection="1">
      <alignment horizontal="center"/>
      <protection hidden="1"/>
    </xf>
    <xf numFmtId="0" fontId="3" fillId="0" borderId="0" xfId="86" applyFont="1" applyProtection="1">
      <protection hidden="1"/>
    </xf>
    <xf numFmtId="0" fontId="3" fillId="35" borderId="21" xfId="74" applyFont="1" applyFill="1" applyBorder="1" applyProtection="1">
      <protection hidden="1"/>
    </xf>
    <xf numFmtId="0" fontId="3" fillId="35" borderId="0" xfId="70" applyFont="1" applyFill="1" applyProtection="1">
      <protection hidden="1"/>
    </xf>
    <xf numFmtId="0" fontId="20" fillId="35" borderId="0" xfId="70" applyFont="1" applyFill="1" applyAlignment="1" applyProtection="1">
      <protection hidden="1"/>
    </xf>
    <xf numFmtId="0" fontId="47" fillId="41" borderId="17" xfId="67" applyFont="1" applyFill="1" applyBorder="1" applyAlignment="1" applyProtection="1">
      <alignment horizontal="center"/>
      <protection locked="0"/>
    </xf>
    <xf numFmtId="0" fontId="3" fillId="0" borderId="0" xfId="76" applyFont="1" applyFill="1" applyBorder="1" applyProtection="1">
      <protection hidden="1"/>
    </xf>
    <xf numFmtId="164" fontId="11" fillId="0" borderId="0" xfId="76" applyNumberFormat="1" applyFont="1" applyFill="1" applyAlignment="1" applyProtection="1">
      <protection hidden="1"/>
    </xf>
    <xf numFmtId="0" fontId="3" fillId="0" borderId="0" xfId="0" applyFont="1" applyFill="1" applyAlignment="1" applyProtection="1">
      <protection hidden="1"/>
    </xf>
    <xf numFmtId="0" fontId="13" fillId="0" borderId="27" xfId="76" applyFont="1" applyFill="1" applyBorder="1" applyAlignment="1" applyProtection="1">
      <alignment horizontal="center"/>
      <protection hidden="1"/>
    </xf>
    <xf numFmtId="0" fontId="13" fillId="0" borderId="25" xfId="86" applyFont="1" applyFill="1" applyBorder="1" applyAlignment="1" applyProtection="1">
      <alignment horizontal="center"/>
      <protection hidden="1"/>
    </xf>
    <xf numFmtId="0" fontId="13" fillId="0" borderId="26" xfId="86" applyFont="1" applyFill="1" applyBorder="1" applyAlignment="1" applyProtection="1">
      <alignment horizontal="center"/>
      <protection hidden="1"/>
    </xf>
    <xf numFmtId="0" fontId="13" fillId="0" borderId="18" xfId="76" applyFont="1" applyFill="1" applyBorder="1" applyAlignment="1" applyProtection="1">
      <alignment horizontal="center"/>
      <protection hidden="1"/>
    </xf>
    <xf numFmtId="0" fontId="13" fillId="0" borderId="18" xfId="76" applyFont="1" applyBorder="1" applyAlignment="1" applyProtection="1">
      <alignment horizontal="center"/>
      <protection hidden="1"/>
    </xf>
    <xf numFmtId="0" fontId="13" fillId="0" borderId="28" xfId="76" applyFont="1" applyFill="1" applyBorder="1" applyAlignment="1" applyProtection="1">
      <alignment horizontal="right"/>
      <protection hidden="1"/>
    </xf>
    <xf numFmtId="0" fontId="13" fillId="0" borderId="29" xfId="76" applyFont="1" applyFill="1" applyBorder="1" applyAlignment="1" applyProtection="1">
      <alignment horizontal="right"/>
      <protection hidden="1"/>
    </xf>
    <xf numFmtId="0" fontId="13" fillId="36" borderId="0" xfId="76" applyFont="1" applyFill="1" applyBorder="1" applyAlignment="1" applyProtection="1">
      <alignment horizontal="center"/>
      <protection hidden="1"/>
    </xf>
    <xf numFmtId="0" fontId="13" fillId="0" borderId="28" xfId="76" applyFont="1" applyFill="1" applyBorder="1" applyProtection="1">
      <protection hidden="1"/>
    </xf>
    <xf numFmtId="164" fontId="13" fillId="0" borderId="0" xfId="76" applyNumberFormat="1" applyFont="1" applyFill="1" applyBorder="1" applyProtection="1">
      <protection hidden="1"/>
    </xf>
    <xf numFmtId="0" fontId="13" fillId="0" borderId="0" xfId="76" applyFont="1" applyFill="1" applyBorder="1" applyProtection="1">
      <protection hidden="1"/>
    </xf>
    <xf numFmtId="0" fontId="13" fillId="0" borderId="29" xfId="76" applyFont="1" applyFill="1" applyBorder="1" applyProtection="1">
      <protection hidden="1"/>
    </xf>
    <xf numFmtId="164" fontId="13" fillId="36" borderId="0" xfId="76" applyNumberFormat="1" applyFont="1" applyFill="1" applyBorder="1" applyProtection="1">
      <protection hidden="1"/>
    </xf>
    <xf numFmtId="0" fontId="13" fillId="0" borderId="28" xfId="76" applyFont="1" applyFill="1" applyBorder="1" applyAlignment="1" applyProtection="1">
      <alignment horizontal="center"/>
      <protection hidden="1"/>
    </xf>
    <xf numFmtId="0" fontId="13" fillId="0" borderId="29" xfId="76" applyFont="1" applyFill="1" applyBorder="1" applyAlignment="1" applyProtection="1">
      <alignment horizontal="center"/>
      <protection hidden="1"/>
    </xf>
    <xf numFmtId="0" fontId="13" fillId="0" borderId="0" xfId="76" applyFont="1" applyBorder="1" applyProtection="1">
      <protection hidden="1"/>
    </xf>
    <xf numFmtId="1" fontId="3" fillId="38" borderId="0" xfId="76" applyNumberFormat="1" applyFont="1" applyFill="1" applyProtection="1">
      <protection hidden="1"/>
    </xf>
    <xf numFmtId="0" fontId="33" fillId="0" borderId="28" xfId="76" applyFont="1" applyFill="1" applyBorder="1" applyProtection="1">
      <protection hidden="1"/>
    </xf>
    <xf numFmtId="1" fontId="13" fillId="0" borderId="28" xfId="76" applyNumberFormat="1" applyFont="1" applyFill="1" applyBorder="1" applyProtection="1">
      <protection hidden="1"/>
    </xf>
    <xf numFmtId="164" fontId="13" fillId="0" borderId="28" xfId="76" applyNumberFormat="1" applyFont="1" applyFill="1" applyBorder="1" applyProtection="1">
      <protection hidden="1"/>
    </xf>
    <xf numFmtId="164" fontId="13" fillId="0" borderId="30" xfId="76" applyNumberFormat="1" applyFont="1" applyFill="1" applyBorder="1" applyProtection="1">
      <protection hidden="1"/>
    </xf>
    <xf numFmtId="164" fontId="13" fillId="0" borderId="31" xfId="76" applyNumberFormat="1" applyFont="1" applyFill="1" applyBorder="1" applyProtection="1">
      <protection hidden="1"/>
    </xf>
    <xf numFmtId="0" fontId="13" fillId="0" borderId="31" xfId="76" applyFont="1" applyFill="1" applyBorder="1" applyProtection="1">
      <protection hidden="1"/>
    </xf>
    <xf numFmtId="0" fontId="13" fillId="0" borderId="32" xfId="76" applyFont="1" applyFill="1" applyBorder="1" applyProtection="1">
      <protection hidden="1"/>
    </xf>
    <xf numFmtId="49" fontId="3" fillId="35" borderId="31" xfId="76" applyNumberFormat="1" applyFont="1" applyFill="1" applyBorder="1" applyAlignment="1" applyProtection="1">
      <alignment horizontal="center"/>
      <protection hidden="1"/>
    </xf>
    <xf numFmtId="0" fontId="3" fillId="0" borderId="31" xfId="86" applyFont="1" applyBorder="1" applyAlignment="1" applyProtection="1">
      <alignment horizontal="center"/>
      <protection hidden="1"/>
    </xf>
    <xf numFmtId="0" fontId="189" fillId="35" borderId="0" xfId="89" applyNumberFormat="1" applyFont="1" applyFill="1" applyProtection="1">
      <protection hidden="1"/>
    </xf>
    <xf numFmtId="0" fontId="47" fillId="0" borderId="17" xfId="67" applyNumberFormat="1" applyFont="1" applyBorder="1" applyAlignment="1" applyProtection="1">
      <alignment horizontal="center"/>
      <protection hidden="1"/>
    </xf>
    <xf numFmtId="0" fontId="11" fillId="35" borderId="0" xfId="80" applyNumberFormat="1" applyFont="1" applyFill="1" applyAlignment="1" applyProtection="1">
      <protection hidden="1"/>
    </xf>
    <xf numFmtId="0" fontId="33" fillId="35" borderId="0" xfId="80" applyNumberFormat="1" applyFont="1" applyFill="1" applyAlignment="1" applyProtection="1">
      <protection hidden="1"/>
    </xf>
    <xf numFmtId="0" fontId="3" fillId="35" borderId="0" xfId="81" applyNumberFormat="1" applyFont="1" applyFill="1" applyProtection="1">
      <protection hidden="1"/>
    </xf>
    <xf numFmtId="0" fontId="52" fillId="35" borderId="0" xfId="52" applyNumberFormat="1" applyFont="1" applyFill="1" applyAlignment="1" applyProtection="1">
      <alignment horizontal="right"/>
      <protection hidden="1"/>
    </xf>
    <xf numFmtId="165" fontId="3" fillId="0" borderId="17" xfId="87" applyNumberFormat="1" applyFont="1" applyBorder="1" applyAlignment="1" applyProtection="1">
      <alignment horizontal="center"/>
      <protection hidden="1"/>
    </xf>
    <xf numFmtId="2" fontId="3" fillId="0" borderId="17" xfId="87" applyNumberFormat="1" applyFont="1" applyBorder="1" applyAlignment="1" applyProtection="1">
      <alignment horizontal="center"/>
      <protection hidden="1"/>
    </xf>
    <xf numFmtId="0" fontId="3" fillId="0" borderId="0" xfId="89" applyNumberFormat="1" applyFont="1" applyAlignment="1" applyProtection="1">
      <protection hidden="1"/>
    </xf>
    <xf numFmtId="0" fontId="33" fillId="35" borderId="0" xfId="80" applyNumberFormat="1" applyFont="1" applyFill="1" applyAlignment="1" applyProtection="1">
      <alignment horizontal="center"/>
      <protection hidden="1"/>
    </xf>
    <xf numFmtId="0" fontId="3" fillId="0" borderId="0" xfId="80" applyNumberFormat="1" applyFont="1" applyAlignment="1" applyProtection="1">
      <protection hidden="1"/>
    </xf>
    <xf numFmtId="0" fontId="47" fillId="35" borderId="0" xfId="67" applyNumberFormat="1" applyFont="1" applyFill="1" applyBorder="1" applyAlignment="1" applyProtection="1">
      <alignment horizontal="center"/>
      <protection hidden="1"/>
    </xf>
    <xf numFmtId="0" fontId="3" fillId="35" borderId="0" xfId="87" applyNumberFormat="1" applyFont="1" applyFill="1" applyBorder="1" applyAlignment="1" applyProtection="1">
      <alignment horizontal="center"/>
      <protection hidden="1"/>
    </xf>
    <xf numFmtId="0" fontId="3" fillId="35" borderId="0" xfId="89" applyNumberFormat="1" applyFont="1" applyFill="1" applyProtection="1">
      <protection hidden="1"/>
    </xf>
    <xf numFmtId="0" fontId="3" fillId="35" borderId="0" xfId="80" applyNumberFormat="1" applyFont="1" applyFill="1" applyProtection="1">
      <protection hidden="1"/>
    </xf>
    <xf numFmtId="0" fontId="11" fillId="35" borderId="0" xfId="51" applyNumberFormat="1" applyFont="1" applyFill="1" applyAlignment="1" applyProtection="1">
      <alignment horizontal="left"/>
      <protection hidden="1"/>
    </xf>
    <xf numFmtId="0" fontId="11" fillId="35" borderId="0" xfId="81" applyNumberFormat="1" applyFont="1" applyFill="1" applyProtection="1">
      <protection hidden="1"/>
    </xf>
    <xf numFmtId="0" fontId="33" fillId="35" borderId="0" xfId="81" applyNumberFormat="1" applyFont="1" applyFill="1" applyProtection="1">
      <protection hidden="1"/>
    </xf>
    <xf numFmtId="0" fontId="11" fillId="35" borderId="0" xfId="80" applyNumberFormat="1" applyFont="1" applyFill="1" applyProtection="1">
      <protection hidden="1"/>
    </xf>
    <xf numFmtId="0" fontId="3" fillId="35" borderId="0" xfId="81" applyNumberFormat="1" applyFont="1" applyFill="1" applyAlignment="1" applyProtection="1">
      <alignment vertical="center"/>
      <protection hidden="1"/>
    </xf>
    <xf numFmtId="2" fontId="3" fillId="35" borderId="0" xfId="81" applyNumberFormat="1" applyFont="1" applyFill="1" applyAlignment="1" applyProtection="1">
      <protection hidden="1"/>
    </xf>
    <xf numFmtId="0" fontId="3" fillId="35" borderId="0" xfId="81" applyNumberFormat="1" applyFont="1" applyFill="1" applyAlignment="1" applyProtection="1">
      <alignment horizontal="right"/>
      <protection hidden="1"/>
    </xf>
    <xf numFmtId="0" fontId="3" fillId="38" borderId="17" xfId="81" applyNumberFormat="1" applyFont="1" applyFill="1" applyBorder="1" applyAlignment="1" applyProtection="1">
      <protection hidden="1"/>
    </xf>
    <xf numFmtId="0" fontId="11" fillId="35" borderId="0" xfId="81" applyNumberFormat="1" applyFont="1" applyFill="1" applyAlignment="1" applyProtection="1">
      <alignment horizontal="left"/>
      <protection hidden="1"/>
    </xf>
    <xf numFmtId="0" fontId="3" fillId="7" borderId="0" xfId="81" applyFont="1" applyFill="1" applyAlignment="1" applyProtection="1">
      <protection locked="0"/>
    </xf>
    <xf numFmtId="2" fontId="3" fillId="35" borderId="0" xfId="81" applyNumberFormat="1" applyFont="1" applyFill="1" applyAlignment="1" applyProtection="1">
      <alignment horizontal="right"/>
      <protection hidden="1"/>
    </xf>
    <xf numFmtId="0" fontId="3" fillId="35" borderId="0" xfId="81" applyFont="1" applyFill="1" applyAlignment="1" applyProtection="1">
      <alignment vertical="center"/>
      <protection hidden="1"/>
    </xf>
    <xf numFmtId="0" fontId="3" fillId="35" borderId="0" xfId="81" applyFont="1" applyFill="1" applyAlignment="1" applyProtection="1">
      <alignment horizontal="right"/>
      <protection hidden="1"/>
    </xf>
    <xf numFmtId="0" fontId="3" fillId="35" borderId="0" xfId="89" applyFont="1" applyFill="1" applyAlignment="1" applyProtection="1">
      <protection hidden="1"/>
    </xf>
    <xf numFmtId="164" fontId="3" fillId="35" borderId="0" xfId="81" applyNumberFormat="1" applyFont="1" applyFill="1" applyAlignment="1" applyProtection="1">
      <alignment horizontal="right"/>
      <protection hidden="1"/>
    </xf>
    <xf numFmtId="2" fontId="11" fillId="35" borderId="0" xfId="81" applyNumberFormat="1" applyFont="1" applyFill="1" applyAlignment="1" applyProtection="1">
      <alignment horizontal="left"/>
      <protection hidden="1"/>
    </xf>
    <xf numFmtId="1" fontId="3" fillId="35" borderId="0" xfId="81" applyNumberFormat="1" applyFont="1" applyFill="1" applyAlignment="1" applyProtection="1">
      <alignment horizontal="right"/>
      <protection hidden="1"/>
    </xf>
    <xf numFmtId="1" fontId="32" fillId="35" borderId="0" xfId="81" applyNumberFormat="1" applyFont="1" applyFill="1" applyAlignment="1" applyProtection="1">
      <alignment horizontal="right"/>
      <protection hidden="1"/>
    </xf>
    <xf numFmtId="0" fontId="183" fillId="35" borderId="0" xfId="77" applyFont="1" applyFill="1" applyAlignment="1" applyProtection="1">
      <alignment horizontal="center" vertical="center" wrapText="1"/>
      <protection hidden="1"/>
    </xf>
    <xf numFmtId="164" fontId="40" fillId="35" borderId="0" xfId="81" applyNumberFormat="1" applyFont="1" applyFill="1" applyAlignment="1" applyProtection="1">
      <alignment horizontal="right"/>
      <protection hidden="1"/>
    </xf>
    <xf numFmtId="1" fontId="40" fillId="35" borderId="0" xfId="81" applyNumberFormat="1" applyFont="1" applyFill="1" applyAlignment="1" applyProtection="1">
      <alignment horizontal="left"/>
      <protection hidden="1"/>
    </xf>
    <xf numFmtId="0" fontId="189" fillId="35" borderId="0" xfId="89" applyFont="1" applyFill="1" applyProtection="1">
      <protection hidden="1"/>
    </xf>
    <xf numFmtId="0" fontId="3" fillId="35" borderId="0" xfId="81" applyFont="1" applyFill="1" applyProtection="1">
      <protection hidden="1"/>
    </xf>
    <xf numFmtId="1" fontId="13" fillId="0" borderId="0" xfId="69" applyNumberFormat="1" applyFont="1" applyBorder="1" applyAlignment="1" applyProtection="1">
      <alignment horizontal="right"/>
      <protection hidden="1"/>
    </xf>
    <xf numFmtId="0" fontId="201" fillId="35" borderId="0" xfId="69" applyFont="1" applyFill="1" applyAlignment="1" applyProtection="1">
      <alignment horizontal="left" wrapText="1"/>
      <protection hidden="1"/>
    </xf>
    <xf numFmtId="0" fontId="3" fillId="35" borderId="0" xfId="0" applyFont="1" applyFill="1" applyProtection="1">
      <protection locked="0"/>
    </xf>
    <xf numFmtId="0" fontId="3" fillId="35" borderId="0" xfId="69" applyFont="1" applyFill="1" applyBorder="1" applyAlignment="1" applyProtection="1">
      <protection locked="0"/>
    </xf>
    <xf numFmtId="0" fontId="3" fillId="35" borderId="0" xfId="90" applyFont="1" applyFill="1" applyBorder="1" applyAlignment="1" applyProtection="1">
      <protection locked="0"/>
    </xf>
    <xf numFmtId="49" fontId="3" fillId="35" borderId="0" xfId="90" applyNumberFormat="1" applyFont="1" applyFill="1" applyAlignment="1" applyProtection="1">
      <alignment horizontal="left"/>
      <protection locked="0"/>
    </xf>
    <xf numFmtId="49" fontId="3" fillId="35" borderId="0" xfId="69" applyNumberFormat="1" applyFont="1" applyFill="1" applyProtection="1">
      <protection locked="0"/>
    </xf>
    <xf numFmtId="49" fontId="3" fillId="35" borderId="0" xfId="90" applyNumberFormat="1" applyFont="1" applyFill="1" applyProtection="1">
      <protection locked="0"/>
    </xf>
    <xf numFmtId="49" fontId="3" fillId="35" borderId="0" xfId="69" applyNumberFormat="1" applyFont="1" applyFill="1" applyBorder="1" applyAlignment="1" applyProtection="1">
      <alignment horizontal="left"/>
      <protection locked="0"/>
    </xf>
    <xf numFmtId="49" fontId="3" fillId="35" borderId="0" xfId="90" applyNumberFormat="1" applyFont="1" applyFill="1" applyAlignment="1" applyProtection="1">
      <alignment horizontal="center"/>
      <protection locked="0"/>
    </xf>
    <xf numFmtId="0" fontId="10" fillId="0" borderId="16" xfId="69" applyFont="1" applyFill="1" applyBorder="1" applyAlignment="1" applyProtection="1">
      <alignment horizontal="center"/>
      <protection hidden="1"/>
    </xf>
    <xf numFmtId="0" fontId="176" fillId="53" borderId="0" xfId="107" applyFont="1" applyFill="1" applyAlignment="1" applyProtection="1">
      <protection hidden="1"/>
    </xf>
    <xf numFmtId="0" fontId="85" fillId="51" borderId="0" xfId="107" applyFont="1" applyFill="1" applyProtection="1">
      <protection hidden="1"/>
    </xf>
    <xf numFmtId="0" fontId="85" fillId="0" borderId="0" xfId="107" applyFont="1"/>
    <xf numFmtId="0" fontId="202" fillId="51" borderId="0" xfId="107" applyFont="1" applyFill="1" applyAlignment="1" applyProtection="1">
      <protection hidden="1"/>
    </xf>
    <xf numFmtId="0" fontId="178" fillId="51" borderId="0" xfId="107" applyFont="1" applyFill="1" applyAlignment="1" applyProtection="1">
      <protection hidden="1"/>
    </xf>
    <xf numFmtId="0" fontId="176" fillId="53" borderId="0" xfId="107" applyFont="1" applyFill="1" applyAlignment="1" applyProtection="1">
      <alignment horizontal="left"/>
      <protection hidden="1"/>
    </xf>
    <xf numFmtId="0" fontId="178" fillId="51" borderId="0" xfId="107" applyFont="1" applyFill="1" applyAlignment="1" applyProtection="1">
      <alignment horizontal="center"/>
      <protection hidden="1"/>
    </xf>
    <xf numFmtId="0" fontId="204" fillId="51" borderId="0" xfId="107" applyFont="1" applyFill="1" applyBorder="1" applyAlignment="1" applyProtection="1">
      <alignment horizontal="center"/>
      <protection hidden="1"/>
    </xf>
    <xf numFmtId="0" fontId="47" fillId="51" borderId="0" xfId="107" applyFont="1" applyFill="1" applyProtection="1">
      <protection hidden="1"/>
    </xf>
    <xf numFmtId="0" fontId="205" fillId="0" borderId="21" xfId="107" applyFont="1" applyBorder="1" applyAlignment="1" applyProtection="1">
      <alignment horizontal="center"/>
      <protection hidden="1"/>
    </xf>
    <xf numFmtId="0" fontId="205" fillId="0" borderId="95" xfId="107" applyFont="1" applyBorder="1" applyAlignment="1" applyProtection="1">
      <alignment horizontal="center"/>
      <protection hidden="1"/>
    </xf>
    <xf numFmtId="0" fontId="205" fillId="0" borderId="19" xfId="107" applyFont="1" applyBorder="1" applyAlignment="1" applyProtection="1">
      <alignment horizontal="center"/>
      <protection hidden="1"/>
    </xf>
    <xf numFmtId="0" fontId="161" fillId="0" borderId="13" xfId="107" applyFont="1" applyBorder="1" applyAlignment="1" applyProtection="1">
      <protection hidden="1"/>
    </xf>
    <xf numFmtId="0" fontId="191" fillId="0" borderId="0" xfId="107" applyFont="1" applyBorder="1" applyAlignment="1" applyProtection="1">
      <alignment horizontal="center"/>
      <protection hidden="1"/>
    </xf>
    <xf numFmtId="164" fontId="191" fillId="0" borderId="97" xfId="107" applyNumberFormat="1" applyFont="1" applyBorder="1" applyAlignment="1" applyProtection="1">
      <alignment horizontal="center"/>
      <protection hidden="1"/>
    </xf>
    <xf numFmtId="164" fontId="191" fillId="0" borderId="98" xfId="107" applyNumberFormat="1" applyFont="1" applyBorder="1" applyAlignment="1" applyProtection="1">
      <alignment horizontal="center"/>
      <protection hidden="1"/>
    </xf>
    <xf numFmtId="1" fontId="191" fillId="0" borderId="97" xfId="107" applyNumberFormat="1" applyFont="1" applyBorder="1" applyAlignment="1" applyProtection="1">
      <alignment horizontal="center"/>
      <protection hidden="1"/>
    </xf>
    <xf numFmtId="0" fontId="191" fillId="0" borderId="98" xfId="107" applyFont="1" applyBorder="1" applyAlignment="1" applyProtection="1">
      <alignment horizontal="center"/>
      <protection hidden="1"/>
    </xf>
    <xf numFmtId="164" fontId="191" fillId="0" borderId="99" xfId="107" applyNumberFormat="1" applyFont="1" applyBorder="1" applyAlignment="1" applyProtection="1">
      <alignment horizontal="center"/>
      <protection hidden="1"/>
    </xf>
    <xf numFmtId="0" fontId="191" fillId="0" borderId="13" xfId="107" applyFont="1" applyBorder="1" applyAlignment="1" applyProtection="1">
      <alignment horizontal="center"/>
      <protection hidden="1"/>
    </xf>
    <xf numFmtId="0" fontId="191" fillId="0" borderId="15" xfId="107" applyFont="1" applyBorder="1" applyAlignment="1" applyProtection="1">
      <alignment horizontal="center"/>
      <protection hidden="1"/>
    </xf>
    <xf numFmtId="164" fontId="191" fillId="0" borderId="100" xfId="107" applyNumberFormat="1" applyFont="1" applyBorder="1" applyAlignment="1" applyProtection="1">
      <alignment horizontal="center"/>
      <protection hidden="1"/>
    </xf>
    <xf numFmtId="164" fontId="191" fillId="0" borderId="101" xfId="107" applyNumberFormat="1" applyFont="1" applyBorder="1" applyAlignment="1" applyProtection="1">
      <alignment horizontal="center"/>
      <protection hidden="1"/>
    </xf>
    <xf numFmtId="1" fontId="191" fillId="0" borderId="100" xfId="107" applyNumberFormat="1" applyFont="1" applyBorder="1" applyAlignment="1" applyProtection="1">
      <alignment horizontal="center"/>
      <protection hidden="1"/>
    </xf>
    <xf numFmtId="0" fontId="191" fillId="0" borderId="101" xfId="107" applyFont="1" applyBorder="1" applyAlignment="1" applyProtection="1">
      <alignment horizontal="center"/>
      <protection hidden="1"/>
    </xf>
    <xf numFmtId="164" fontId="191" fillId="0" borderId="102" xfId="107" applyNumberFormat="1" applyFont="1" applyBorder="1" applyAlignment="1" applyProtection="1">
      <alignment horizontal="center"/>
      <protection hidden="1"/>
    </xf>
    <xf numFmtId="0" fontId="161" fillId="0" borderId="103" xfId="107" applyFont="1" applyBorder="1" applyAlignment="1" applyProtection="1">
      <protection hidden="1"/>
    </xf>
    <xf numFmtId="0" fontId="191" fillId="0" borderId="104" xfId="107" applyFont="1" applyBorder="1" applyAlignment="1" applyProtection="1">
      <alignment horizontal="center"/>
      <protection hidden="1"/>
    </xf>
    <xf numFmtId="0" fontId="191" fillId="0" borderId="103" xfId="107" applyFont="1" applyBorder="1" applyAlignment="1" applyProtection="1">
      <alignment horizontal="center"/>
      <protection hidden="1"/>
    </xf>
    <xf numFmtId="0" fontId="191" fillId="0" borderId="105" xfId="107" applyFont="1" applyBorder="1" applyAlignment="1" applyProtection="1">
      <alignment horizontal="center"/>
      <protection hidden="1"/>
    </xf>
    <xf numFmtId="0" fontId="161" fillId="0" borderId="106" xfId="107" applyFont="1" applyBorder="1" applyAlignment="1" applyProtection="1">
      <protection hidden="1"/>
    </xf>
    <xf numFmtId="0" fontId="191" fillId="0" borderId="107" xfId="107" applyFont="1" applyBorder="1" applyAlignment="1" applyProtection="1">
      <alignment horizontal="center"/>
      <protection hidden="1"/>
    </xf>
    <xf numFmtId="0" fontId="191" fillId="0" borderId="106" xfId="107" applyFont="1" applyBorder="1" applyAlignment="1" applyProtection="1">
      <alignment horizontal="center"/>
      <protection hidden="1"/>
    </xf>
    <xf numFmtId="0" fontId="191" fillId="0" borderId="108" xfId="107" applyFont="1" applyBorder="1" applyAlignment="1" applyProtection="1">
      <alignment horizontal="center"/>
      <protection hidden="1"/>
    </xf>
    <xf numFmtId="0" fontId="161" fillId="0" borderId="70" xfId="107" applyFont="1" applyBorder="1" applyAlignment="1" applyProtection="1">
      <protection hidden="1"/>
    </xf>
    <xf numFmtId="0" fontId="191" fillId="0" borderId="71" xfId="107" applyFont="1" applyBorder="1" applyAlignment="1" applyProtection="1">
      <alignment horizontal="center"/>
      <protection hidden="1"/>
    </xf>
    <xf numFmtId="0" fontId="191" fillId="0" borderId="70" xfId="107" applyFont="1" applyBorder="1" applyAlignment="1" applyProtection="1">
      <alignment horizontal="center"/>
      <protection hidden="1"/>
    </xf>
    <xf numFmtId="0" fontId="191" fillId="0" borderId="109" xfId="107" applyFont="1" applyBorder="1" applyAlignment="1" applyProtection="1">
      <alignment horizontal="center"/>
      <protection hidden="1"/>
    </xf>
    <xf numFmtId="0" fontId="191" fillId="0" borderId="15" xfId="107" applyFont="1" applyFill="1" applyBorder="1" applyAlignment="1" applyProtection="1">
      <alignment horizontal="center"/>
      <protection hidden="1"/>
    </xf>
    <xf numFmtId="0" fontId="191" fillId="0" borderId="0" xfId="107" applyFont="1" applyFill="1" applyBorder="1" applyAlignment="1" applyProtection="1">
      <alignment horizontal="center"/>
      <protection hidden="1"/>
    </xf>
    <xf numFmtId="0" fontId="191" fillId="0" borderId="108" xfId="107" applyFont="1" applyFill="1" applyBorder="1" applyAlignment="1" applyProtection="1">
      <alignment horizontal="center"/>
      <protection hidden="1"/>
    </xf>
    <xf numFmtId="0" fontId="191" fillId="0" borderId="107" xfId="107" applyFont="1" applyFill="1" applyBorder="1" applyAlignment="1" applyProtection="1">
      <alignment horizontal="center"/>
      <protection hidden="1"/>
    </xf>
    <xf numFmtId="164" fontId="191" fillId="0" borderId="110" xfId="107" applyNumberFormat="1" applyFont="1" applyBorder="1" applyAlignment="1" applyProtection="1">
      <alignment horizontal="center"/>
      <protection hidden="1"/>
    </xf>
    <xf numFmtId="164" fontId="191" fillId="0" borderId="111" xfId="107" applyNumberFormat="1" applyFont="1" applyBorder="1" applyAlignment="1" applyProtection="1">
      <alignment horizontal="center"/>
      <protection hidden="1"/>
    </xf>
    <xf numFmtId="1" fontId="191" fillId="0" borderId="110" xfId="107" applyNumberFormat="1" applyFont="1" applyBorder="1" applyAlignment="1" applyProtection="1">
      <alignment horizontal="center"/>
      <protection hidden="1"/>
    </xf>
    <xf numFmtId="0" fontId="191" fillId="0" borderId="111" xfId="107" applyFont="1" applyBorder="1" applyAlignment="1" applyProtection="1">
      <alignment horizontal="center"/>
      <protection hidden="1"/>
    </xf>
    <xf numFmtId="164" fontId="191" fillId="0" borderId="112" xfId="107" applyNumberFormat="1" applyFont="1" applyBorder="1" applyAlignment="1" applyProtection="1">
      <alignment horizontal="center"/>
      <protection hidden="1"/>
    </xf>
    <xf numFmtId="164" fontId="191" fillId="0" borderId="113" xfId="107" applyNumberFormat="1" applyFont="1" applyBorder="1" applyAlignment="1" applyProtection="1">
      <alignment horizontal="center"/>
      <protection hidden="1"/>
    </xf>
    <xf numFmtId="164" fontId="191" fillId="0" borderId="114" xfId="107" applyNumberFormat="1" applyFont="1" applyBorder="1" applyAlignment="1" applyProtection="1">
      <alignment horizontal="center"/>
      <protection hidden="1"/>
    </xf>
    <xf numFmtId="1" fontId="191" fillId="0" borderId="113" xfId="107" applyNumberFormat="1" applyFont="1" applyBorder="1" applyAlignment="1" applyProtection="1">
      <alignment horizontal="center"/>
      <protection hidden="1"/>
    </xf>
    <xf numFmtId="0" fontId="191" fillId="0" borderId="114" xfId="107" applyFont="1" applyBorder="1" applyAlignment="1" applyProtection="1">
      <alignment horizontal="center"/>
      <protection hidden="1"/>
    </xf>
    <xf numFmtId="164" fontId="191" fillId="0" borderId="115" xfId="107" applyNumberFormat="1" applyFont="1" applyBorder="1" applyAlignment="1" applyProtection="1">
      <alignment horizontal="center"/>
      <protection hidden="1"/>
    </xf>
    <xf numFmtId="164" fontId="191" fillId="0" borderId="116" xfId="107" applyNumberFormat="1" applyFont="1" applyBorder="1" applyAlignment="1" applyProtection="1">
      <alignment horizontal="center"/>
      <protection hidden="1"/>
    </xf>
    <xf numFmtId="164" fontId="191" fillId="0" borderId="117" xfId="107" applyNumberFormat="1" applyFont="1" applyBorder="1" applyAlignment="1" applyProtection="1">
      <alignment horizontal="center"/>
      <protection hidden="1"/>
    </xf>
    <xf numFmtId="1" fontId="191" fillId="0" borderId="116" xfId="107" applyNumberFormat="1" applyFont="1" applyBorder="1" applyAlignment="1" applyProtection="1">
      <alignment horizontal="center"/>
      <protection hidden="1"/>
    </xf>
    <xf numFmtId="0" fontId="191" fillId="0" borderId="117" xfId="107" applyFont="1" applyBorder="1" applyAlignment="1" applyProtection="1">
      <alignment horizontal="center"/>
      <protection hidden="1"/>
    </xf>
    <xf numFmtId="164" fontId="191" fillId="0" borderId="118" xfId="107" applyNumberFormat="1" applyFont="1" applyBorder="1" applyAlignment="1" applyProtection="1">
      <alignment horizontal="center"/>
      <protection hidden="1"/>
    </xf>
    <xf numFmtId="164" fontId="191" fillId="0" borderId="119" xfId="107" applyNumberFormat="1" applyFont="1" applyBorder="1" applyAlignment="1" applyProtection="1">
      <alignment horizontal="center"/>
      <protection hidden="1"/>
    </xf>
    <xf numFmtId="164" fontId="191" fillId="0" borderId="120" xfId="107" applyNumberFormat="1" applyFont="1" applyBorder="1" applyAlignment="1" applyProtection="1">
      <alignment horizontal="center"/>
      <protection hidden="1"/>
    </xf>
    <xf numFmtId="1" fontId="191" fillId="0" borderId="119" xfId="107" applyNumberFormat="1" applyFont="1" applyBorder="1" applyAlignment="1" applyProtection="1">
      <alignment horizontal="center"/>
      <protection hidden="1"/>
    </xf>
    <xf numFmtId="0" fontId="191" fillId="0" borderId="120" xfId="107" applyFont="1" applyBorder="1" applyAlignment="1" applyProtection="1">
      <alignment horizontal="center"/>
      <protection hidden="1"/>
    </xf>
    <xf numFmtId="164" fontId="191" fillId="0" borderId="121" xfId="107" applyNumberFormat="1" applyFont="1" applyBorder="1" applyAlignment="1" applyProtection="1">
      <alignment horizontal="center"/>
      <protection hidden="1"/>
    </xf>
    <xf numFmtId="0" fontId="161" fillId="0" borderId="20" xfId="107" applyFont="1" applyBorder="1" applyAlignment="1" applyProtection="1">
      <protection hidden="1"/>
    </xf>
    <xf numFmtId="0" fontId="161" fillId="53" borderId="89" xfId="107" applyFont="1" applyFill="1" applyBorder="1" applyAlignment="1" applyProtection="1">
      <alignment vertical="top"/>
      <protection hidden="1"/>
    </xf>
    <xf numFmtId="0" fontId="60" fillId="51" borderId="0" xfId="107" applyFont="1" applyFill="1" applyProtection="1">
      <protection hidden="1"/>
    </xf>
    <xf numFmtId="0" fontId="206" fillId="53" borderId="0" xfId="108" applyFont="1" applyFill="1" applyAlignment="1" applyProtection="1">
      <protection hidden="1"/>
    </xf>
    <xf numFmtId="0" fontId="206" fillId="53" borderId="0" xfId="108" applyFont="1" applyFill="1" applyAlignment="1" applyProtection="1">
      <alignment horizontal="center"/>
      <protection hidden="1"/>
    </xf>
    <xf numFmtId="0" fontId="170" fillId="51" borderId="0" xfId="107" applyFont="1" applyFill="1" applyProtection="1">
      <protection hidden="1"/>
    </xf>
    <xf numFmtId="0" fontId="85" fillId="53" borderId="0" xfId="108" applyFont="1" applyFill="1" applyProtection="1">
      <protection hidden="1"/>
    </xf>
    <xf numFmtId="0" fontId="190" fillId="53" borderId="0" xfId="107" applyFont="1" applyFill="1" applyAlignment="1" applyProtection="1">
      <alignment horizontal="center"/>
      <protection hidden="1"/>
    </xf>
    <xf numFmtId="0" fontId="141" fillId="53" borderId="0" xfId="107" applyFont="1" applyFill="1" applyAlignment="1" applyProtection="1">
      <alignment horizontal="center"/>
      <protection hidden="1"/>
    </xf>
    <xf numFmtId="0" fontId="25" fillId="53" borderId="0" xfId="109" applyFont="1" applyFill="1" applyAlignment="1" applyProtection="1">
      <alignment horizontal="left"/>
      <protection hidden="1"/>
    </xf>
    <xf numFmtId="0" fontId="85" fillId="51" borderId="0" xfId="108" applyFont="1" applyFill="1" applyProtection="1">
      <protection hidden="1"/>
    </xf>
    <xf numFmtId="0" fontId="177" fillId="53" borderId="0" xfId="108" applyFont="1" applyFill="1" applyProtection="1">
      <protection hidden="1"/>
    </xf>
    <xf numFmtId="0" fontId="146" fillId="53" borderId="0" xfId="107" applyFont="1" applyFill="1" applyAlignment="1" applyProtection="1">
      <protection hidden="1"/>
    </xf>
    <xf numFmtId="0" fontId="47" fillId="53" borderId="0" xfId="107" applyFont="1" applyFill="1" applyAlignment="1" applyProtection="1">
      <protection hidden="1"/>
    </xf>
    <xf numFmtId="0" fontId="60" fillId="53" borderId="0" xfId="107" applyFont="1" applyFill="1" applyAlignment="1" applyProtection="1">
      <protection hidden="1"/>
    </xf>
    <xf numFmtId="0" fontId="159" fillId="53" borderId="0" xfId="108" applyFont="1" applyFill="1" applyProtection="1">
      <protection hidden="1"/>
    </xf>
    <xf numFmtId="0" fontId="182" fillId="53" borderId="0" xfId="108" applyFont="1" applyFill="1" applyAlignment="1" applyProtection="1">
      <protection hidden="1"/>
    </xf>
    <xf numFmtId="0" fontId="47" fillId="51" borderId="0" xfId="108" applyFill="1" applyProtection="1">
      <protection hidden="1"/>
    </xf>
    <xf numFmtId="0" fontId="181" fillId="53" borderId="0" xfId="108" applyFont="1" applyFill="1" applyAlignment="1" applyProtection="1">
      <alignment horizontal="left"/>
      <protection hidden="1"/>
    </xf>
    <xf numFmtId="0" fontId="3" fillId="53" borderId="0" xfId="108" applyFont="1" applyFill="1" applyAlignment="1" applyProtection="1">
      <protection hidden="1"/>
    </xf>
    <xf numFmtId="0" fontId="3" fillId="53" borderId="0" xfId="108" applyFont="1" applyFill="1" applyAlignment="1" applyProtection="1">
      <alignment horizontal="left"/>
      <protection hidden="1"/>
    </xf>
    <xf numFmtId="0" fontId="146" fillId="0" borderId="0" xfId="107" applyFont="1"/>
    <xf numFmtId="0" fontId="212" fillId="54" borderId="0" xfId="281" applyFont="1" applyFill="1" applyAlignment="1" applyProtection="1">
      <protection hidden="1"/>
    </xf>
    <xf numFmtId="0" fontId="1" fillId="51" borderId="0" xfId="282" applyFont="1" applyFill="1"/>
    <xf numFmtId="0" fontId="1" fillId="0" borderId="0" xfId="282" applyFont="1"/>
    <xf numFmtId="0" fontId="1" fillId="51" borderId="0" xfId="280" applyFont="1" applyFill="1" applyProtection="1">
      <protection hidden="1"/>
    </xf>
    <xf numFmtId="0" fontId="122" fillId="54" borderId="0" xfId="281" applyFont="1" applyFill="1" applyProtection="1">
      <protection hidden="1"/>
    </xf>
    <xf numFmtId="0" fontId="213" fillId="54" borderId="0" xfId="282" applyFont="1" applyFill="1" applyAlignment="1" applyProtection="1">
      <alignment horizontal="right"/>
      <protection hidden="1"/>
    </xf>
    <xf numFmtId="0" fontId="28" fillId="51" borderId="0" xfId="283" applyFill="1" applyProtection="1">
      <protection hidden="1"/>
    </xf>
    <xf numFmtId="0" fontId="1" fillId="51" borderId="0" xfId="280" applyFont="1" applyFill="1"/>
    <xf numFmtId="49" fontId="214" fillId="54" borderId="0" xfId="284" applyNumberFormat="1" applyFont="1" applyFill="1" applyProtection="1">
      <protection locked="0"/>
    </xf>
    <xf numFmtId="0" fontId="28" fillId="51" borderId="0" xfId="283" applyFill="1"/>
    <xf numFmtId="0" fontId="28" fillId="54" borderId="124" xfId="285" applyFill="1" applyBorder="1" applyAlignment="1" applyProtection="1">
      <alignment vertical="center" wrapText="1"/>
      <protection locked="0"/>
    </xf>
    <xf numFmtId="0" fontId="28" fillId="54" borderId="124" xfId="285" applyFill="1" applyBorder="1" applyAlignment="1" applyProtection="1">
      <alignment horizontal="center" vertical="center" wrapText="1"/>
      <protection locked="0"/>
    </xf>
    <xf numFmtId="0" fontId="28" fillId="54" borderId="124" xfId="285" applyFill="1" applyBorder="1" applyProtection="1">
      <protection locked="0"/>
    </xf>
    <xf numFmtId="0" fontId="28" fillId="54" borderId="124" xfId="285" applyFill="1" applyBorder="1" applyAlignment="1" applyProtection="1">
      <alignment horizontal="center"/>
      <protection locked="0"/>
    </xf>
    <xf numFmtId="0" fontId="214" fillId="56" borderId="0" xfId="283" applyFont="1" applyFill="1" applyProtection="1">
      <protection hidden="1"/>
    </xf>
    <xf numFmtId="0" fontId="28" fillId="56" borderId="0" xfId="283" applyFill="1" applyProtection="1">
      <protection hidden="1"/>
    </xf>
    <xf numFmtId="0" fontId="28" fillId="55" borderId="0" xfId="283" applyFill="1" applyProtection="1">
      <protection locked="0"/>
    </xf>
    <xf numFmtId="2" fontId="28" fillId="51" borderId="128" xfId="283" applyNumberFormat="1" applyFont="1" applyFill="1" applyBorder="1"/>
    <xf numFmtId="2" fontId="28" fillId="51" borderId="127" xfId="283" applyNumberFormat="1" applyFont="1" applyFill="1" applyBorder="1"/>
    <xf numFmtId="2" fontId="28" fillId="51" borderId="129" xfId="283" applyNumberFormat="1" applyFont="1" applyFill="1" applyBorder="1"/>
    <xf numFmtId="2" fontId="28" fillId="51" borderId="0" xfId="283" applyNumberFormat="1" applyFont="1" applyFill="1"/>
    <xf numFmtId="2" fontId="28" fillId="0" borderId="0" xfId="283" applyNumberFormat="1" applyFont="1"/>
    <xf numFmtId="1" fontId="28" fillId="56" borderId="0" xfId="283" applyNumberFormat="1" applyFill="1" applyProtection="1">
      <protection hidden="1"/>
    </xf>
    <xf numFmtId="0" fontId="214" fillId="56" borderId="0" xfId="280" applyFont="1" applyFill="1" applyProtection="1">
      <protection locked="0"/>
    </xf>
    <xf numFmtId="0" fontId="28" fillId="0" borderId="0" xfId="280" applyFont="1" applyFill="1" applyProtection="1">
      <protection hidden="1"/>
    </xf>
    <xf numFmtId="0" fontId="28" fillId="51" borderId="0" xfId="280" applyFont="1" applyFill="1" applyProtection="1">
      <protection hidden="1"/>
    </xf>
    <xf numFmtId="0" fontId="28" fillId="0" borderId="0" xfId="283"/>
    <xf numFmtId="0" fontId="28" fillId="0" borderId="0" xfId="283" applyFill="1"/>
    <xf numFmtId="0" fontId="1" fillId="0" borderId="0" xfId="282" applyFont="1" applyFill="1"/>
    <xf numFmtId="0" fontId="9" fillId="51" borderId="0" xfId="0" applyFont="1" applyFill="1" applyAlignment="1" applyProtection="1">
      <protection hidden="1"/>
    </xf>
    <xf numFmtId="0" fontId="208" fillId="53" borderId="0" xfId="108" applyFont="1" applyFill="1" applyAlignment="1" applyProtection="1">
      <alignment horizontal="left" vertical="top"/>
      <protection hidden="1"/>
    </xf>
    <xf numFmtId="0" fontId="1" fillId="56" borderId="0" xfId="284" applyNumberFormat="1" applyFont="1" applyFill="1" applyBorder="1" applyAlignment="1" applyProtection="1">
      <protection hidden="1"/>
    </xf>
    <xf numFmtId="0" fontId="20" fillId="56" borderId="0" xfId="284" applyNumberFormat="1" applyFont="1" applyFill="1" applyBorder="1" applyAlignment="1" applyProtection="1">
      <protection hidden="1"/>
    </xf>
    <xf numFmtId="0" fontId="20" fillId="56" borderId="124" xfId="0" applyNumberFormat="1" applyFont="1" applyFill="1" applyBorder="1" applyAlignment="1" applyProtection="1">
      <alignment horizontal="center"/>
      <protection hidden="1"/>
    </xf>
    <xf numFmtId="0" fontId="228" fillId="0" borderId="143" xfId="0" applyNumberFormat="1" applyFont="1" applyFill="1" applyBorder="1" applyAlignment="1" applyProtection="1">
      <alignment horizontal="center"/>
      <protection hidden="1"/>
    </xf>
    <xf numFmtId="0" fontId="20" fillId="56" borderId="0" xfId="284" applyNumberFormat="1" applyFont="1" applyFill="1" applyBorder="1" applyAlignment="1" applyProtection="1">
      <alignment horizontal="center" vertical="center"/>
      <protection hidden="1"/>
    </xf>
    <xf numFmtId="0" fontId="85" fillId="42" borderId="0" xfId="108" applyFont="1" applyFill="1" applyProtection="1">
      <protection hidden="1"/>
    </xf>
    <xf numFmtId="0" fontId="171" fillId="51" borderId="13" xfId="108" applyFont="1" applyFill="1" applyBorder="1" applyAlignment="1" applyProtection="1">
      <alignment vertical="center" wrapText="1"/>
      <protection hidden="1"/>
    </xf>
    <xf numFmtId="0" fontId="171" fillId="51" borderId="0" xfId="108" applyFont="1" applyFill="1" applyBorder="1" applyAlignment="1" applyProtection="1">
      <alignment vertical="center" wrapText="1"/>
      <protection hidden="1"/>
    </xf>
    <xf numFmtId="0" fontId="47" fillId="44" borderId="125" xfId="108" applyFill="1" applyBorder="1" applyAlignment="1" applyProtection="1">
      <alignment horizontal="center"/>
      <protection locked="0"/>
    </xf>
    <xf numFmtId="0" fontId="47" fillId="37" borderId="124" xfId="0" applyNumberFormat="1" applyFont="1" applyFill="1" applyBorder="1" applyAlignment="1" applyProtection="1">
      <alignment horizontal="center"/>
      <protection locked="0"/>
    </xf>
    <xf numFmtId="0" fontId="184" fillId="37" borderId="124" xfId="0" applyNumberFormat="1" applyFont="1" applyFill="1" applyBorder="1" applyAlignment="1" applyProtection="1">
      <alignment horizontal="center"/>
      <protection locked="0"/>
    </xf>
    <xf numFmtId="0" fontId="47" fillId="44" borderId="12" xfId="108" applyFill="1" applyBorder="1" applyAlignment="1" applyProtection="1">
      <alignment horizontal="center"/>
      <protection locked="0"/>
    </xf>
    <xf numFmtId="0" fontId="3" fillId="71" borderId="145" xfId="62" applyNumberFormat="1" applyFont="1" applyFill="1" applyBorder="1" applyAlignment="1" applyProtection="1">
      <alignment horizontal="center"/>
      <protection locked="0"/>
    </xf>
    <xf numFmtId="0" fontId="184" fillId="37" borderId="145" xfId="0" applyNumberFormat="1" applyFont="1" applyFill="1" applyBorder="1" applyAlignment="1" applyProtection="1">
      <alignment horizontal="center"/>
      <protection locked="0"/>
    </xf>
    <xf numFmtId="0" fontId="47" fillId="51" borderId="0" xfId="108" applyFill="1" applyAlignment="1" applyProtection="1">
      <alignment horizontal="center"/>
      <protection hidden="1"/>
    </xf>
    <xf numFmtId="2" fontId="47" fillId="42" borderId="12" xfId="108" applyNumberFormat="1" applyFill="1" applyBorder="1" applyAlignment="1" applyProtection="1">
      <alignment horizontal="center"/>
      <protection hidden="1"/>
    </xf>
    <xf numFmtId="9" fontId="47" fillId="42" borderId="15" xfId="338" applyFont="1" applyFill="1" applyBorder="1" applyAlignment="1" applyProtection="1">
      <alignment vertical="center" wrapText="1"/>
      <protection hidden="1"/>
    </xf>
    <xf numFmtId="0" fontId="47" fillId="37" borderId="148" xfId="0" applyNumberFormat="1" applyFont="1" applyFill="1" applyBorder="1" applyAlignment="1" applyProtection="1">
      <alignment horizontal="center"/>
      <protection locked="0"/>
    </xf>
    <xf numFmtId="0" fontId="184" fillId="37" borderId="148" xfId="0" applyNumberFormat="1" applyFont="1" applyFill="1" applyBorder="1" applyAlignment="1" applyProtection="1">
      <alignment horizontal="center"/>
      <protection locked="0"/>
    </xf>
    <xf numFmtId="0" fontId="47" fillId="42" borderId="0" xfId="108" applyFill="1" applyProtection="1">
      <protection hidden="1"/>
    </xf>
    <xf numFmtId="164" fontId="47" fillId="0" borderId="151" xfId="0" applyNumberFormat="1" applyFont="1" applyBorder="1" applyAlignment="1" applyProtection="1">
      <alignment horizontal="center"/>
      <protection hidden="1"/>
    </xf>
    <xf numFmtId="164" fontId="184" fillId="51" borderId="151" xfId="0" applyNumberFormat="1" applyFont="1" applyFill="1" applyBorder="1" applyAlignment="1" applyProtection="1">
      <alignment horizontal="center"/>
      <protection hidden="1"/>
    </xf>
    <xf numFmtId="0" fontId="172" fillId="51" borderId="13" xfId="108" applyFont="1" applyFill="1" applyBorder="1" applyAlignment="1" applyProtection="1">
      <alignment vertical="center" wrapText="1"/>
      <protection hidden="1"/>
    </xf>
    <xf numFmtId="0" fontId="171" fillId="51" borderId="0" xfId="215" applyFont="1" applyFill="1" applyBorder="1" applyAlignment="1" applyProtection="1">
      <alignment vertical="center" wrapText="1"/>
      <protection hidden="1"/>
    </xf>
    <xf numFmtId="0" fontId="3" fillId="51" borderId="15" xfId="215" applyFont="1" applyFill="1" applyBorder="1" applyAlignment="1" applyProtection="1">
      <alignment vertical="center" wrapText="1"/>
      <protection hidden="1"/>
    </xf>
    <xf numFmtId="0" fontId="3" fillId="37" borderId="15" xfId="0" applyFont="1" applyFill="1" applyBorder="1" applyAlignment="1" applyProtection="1">
      <alignment horizontal="center"/>
      <protection locked="0"/>
    </xf>
    <xf numFmtId="164" fontId="184" fillId="35" borderId="151" xfId="0" applyNumberFormat="1" applyFont="1" applyFill="1" applyBorder="1" applyAlignment="1" applyProtection="1">
      <alignment horizontal="center"/>
      <protection hidden="1"/>
    </xf>
    <xf numFmtId="2" fontId="47" fillId="0" borderId="124" xfId="0" applyNumberFormat="1" applyFont="1" applyBorder="1" applyAlignment="1" applyProtection="1">
      <alignment horizontal="center"/>
      <protection hidden="1"/>
    </xf>
    <xf numFmtId="0" fontId="157" fillId="0" borderId="156" xfId="0" applyNumberFormat="1" applyFont="1" applyBorder="1" applyAlignment="1" applyProtection="1">
      <alignment horizontal="center"/>
      <protection hidden="1"/>
    </xf>
    <xf numFmtId="0" fontId="231" fillId="0" borderId="156" xfId="0" applyNumberFormat="1" applyFont="1" applyBorder="1" applyAlignment="1" applyProtection="1">
      <alignment horizontal="center"/>
      <protection hidden="1"/>
    </xf>
    <xf numFmtId="0" fontId="1" fillId="0" borderId="0" xfId="0" applyNumberFormat="1" applyFont="1" applyFill="1" applyBorder="1" applyAlignment="1" applyProtection="1">
      <protection hidden="1"/>
    </xf>
    <xf numFmtId="2" fontId="47" fillId="35" borderId="124" xfId="88" applyNumberFormat="1" applyFont="1" applyFill="1" applyBorder="1" applyAlignment="1" applyProtection="1">
      <alignment horizontal="center"/>
      <protection hidden="1"/>
    </xf>
    <xf numFmtId="0" fontId="50" fillId="0" borderId="0" xfId="0" applyNumberFormat="1" applyFont="1" applyFill="1" applyBorder="1" applyAlignment="1" applyProtection="1">
      <protection hidden="1"/>
    </xf>
    <xf numFmtId="0" fontId="60" fillId="35" borderId="0" xfId="56" applyFont="1" applyFill="1" applyAlignment="1" applyProtection="1">
      <protection hidden="1"/>
    </xf>
    <xf numFmtId="0" fontId="50" fillId="51" borderId="0" xfId="0" applyNumberFormat="1" applyFont="1" applyFill="1" applyBorder="1" applyAlignment="1" applyProtection="1">
      <protection hidden="1"/>
    </xf>
    <xf numFmtId="0" fontId="3" fillId="35" borderId="0" xfId="0" applyFont="1" applyFill="1" applyAlignment="1" applyProtection="1">
      <protection hidden="1"/>
    </xf>
    <xf numFmtId="0" fontId="47" fillId="0" borderId="0" xfId="67" applyFont="1" applyAlignment="1" applyProtection="1">
      <alignment horizontal="center"/>
      <protection hidden="1"/>
    </xf>
    <xf numFmtId="164" fontId="47" fillId="42" borderId="15" xfId="67" applyNumberFormat="1" applyFont="1" applyFill="1" applyBorder="1" applyAlignment="1" applyProtection="1">
      <alignment horizontal="center"/>
      <protection hidden="1"/>
    </xf>
    <xf numFmtId="0" fontId="34" fillId="35" borderId="0" xfId="86" applyFont="1" applyFill="1" applyAlignment="1" applyProtection="1">
      <protection hidden="1"/>
    </xf>
    <xf numFmtId="0" fontId="3" fillId="35" borderId="0" xfId="76" applyFont="1" applyFill="1" applyBorder="1" applyAlignment="1" applyProtection="1">
      <protection hidden="1"/>
    </xf>
    <xf numFmtId="0" fontId="47" fillId="42" borderId="23" xfId="67" applyFont="1" applyFill="1" applyBorder="1" applyAlignment="1" applyProtection="1">
      <alignment horizontal="left"/>
      <protection hidden="1"/>
    </xf>
    <xf numFmtId="0" fontId="47" fillId="0" borderId="17" xfId="0" applyFont="1" applyBorder="1" applyAlignment="1" applyProtection="1">
      <alignment horizontal="center"/>
      <protection hidden="1"/>
    </xf>
    <xf numFmtId="0" fontId="3" fillId="0" borderId="0" xfId="0" applyNumberFormat="1" applyFont="1" applyFill="1" applyBorder="1" applyAlignment="1" applyProtection="1">
      <alignment vertical="center"/>
      <protection hidden="1"/>
    </xf>
    <xf numFmtId="0" fontId="52" fillId="35" borderId="0" xfId="46" applyFont="1" applyFill="1" applyBorder="1" applyAlignment="1" applyProtection="1">
      <protection hidden="1"/>
    </xf>
    <xf numFmtId="0" fontId="61" fillId="45" borderId="0" xfId="0" applyFont="1" applyFill="1" applyBorder="1" applyAlignment="1" applyProtection="1">
      <alignment horizontal="center"/>
      <protection hidden="1"/>
    </xf>
    <xf numFmtId="0" fontId="85" fillId="45" borderId="0" xfId="67" applyFont="1" applyFill="1" applyProtection="1">
      <protection hidden="1"/>
    </xf>
    <xf numFmtId="0" fontId="47" fillId="53" borderId="13" xfId="67" applyFont="1" applyFill="1" applyBorder="1" applyProtection="1">
      <protection hidden="1"/>
    </xf>
    <xf numFmtId="0" fontId="159" fillId="53" borderId="0" xfId="67" applyFont="1" applyFill="1" applyProtection="1">
      <protection hidden="1"/>
    </xf>
    <xf numFmtId="0" fontId="40" fillId="0" borderId="17" xfId="67" applyFont="1" applyBorder="1" applyAlignment="1" applyProtection="1">
      <alignment horizontal="center"/>
      <protection hidden="1"/>
    </xf>
    <xf numFmtId="0" fontId="47" fillId="0" borderId="11" xfId="67" applyFont="1" applyBorder="1" applyAlignment="1" applyProtection="1">
      <alignment horizontal="center"/>
      <protection hidden="1"/>
    </xf>
    <xf numFmtId="0" fontId="47" fillId="0" borderId="21" xfId="67" applyFont="1" applyBorder="1" applyAlignment="1" applyProtection="1">
      <alignment horizontal="center"/>
      <protection hidden="1"/>
    </xf>
    <xf numFmtId="0" fontId="85" fillId="51" borderId="0" xfId="67" applyFont="1" applyFill="1" applyAlignment="1" applyProtection="1">
      <protection hidden="1"/>
    </xf>
    <xf numFmtId="0" fontId="3" fillId="0" borderId="0" xfId="84" applyProtection="1">
      <protection hidden="1"/>
    </xf>
    <xf numFmtId="1" fontId="5" fillId="37" borderId="0" xfId="58" applyNumberFormat="1" applyFont="1" applyFill="1" applyBorder="1" applyProtection="1">
      <protection hidden="1"/>
    </xf>
    <xf numFmtId="2" fontId="14" fillId="0" borderId="0" xfId="69" applyNumberFormat="1" applyFont="1" applyProtection="1">
      <protection hidden="1"/>
    </xf>
    <xf numFmtId="0" fontId="5" fillId="38" borderId="0" xfId="66" applyFont="1" applyFill="1" applyBorder="1" applyProtection="1">
      <protection hidden="1"/>
    </xf>
    <xf numFmtId="0" fontId="5" fillId="38" borderId="13" xfId="66" applyFont="1" applyFill="1" applyBorder="1" applyProtection="1">
      <protection hidden="1"/>
    </xf>
    <xf numFmtId="0" fontId="1" fillId="35" borderId="13" xfId="66" applyFill="1" applyBorder="1" applyAlignment="1" applyProtection="1">
      <protection hidden="1"/>
    </xf>
    <xf numFmtId="0" fontId="1" fillId="0" borderId="0" xfId="66" applyFill="1" applyBorder="1" applyAlignment="1" applyProtection="1">
      <protection hidden="1"/>
    </xf>
    <xf numFmtId="49" fontId="3" fillId="0" borderId="84" xfId="84" applyNumberFormat="1" applyBorder="1" applyAlignment="1" applyProtection="1">
      <alignment horizontal="right"/>
      <protection hidden="1"/>
    </xf>
    <xf numFmtId="49" fontId="5" fillId="0" borderId="85" xfId="0" applyNumberFormat="1" applyFont="1" applyFill="1" applyBorder="1" applyAlignment="1" applyProtection="1">
      <alignment horizontal="right"/>
      <protection hidden="1"/>
    </xf>
    <xf numFmtId="164" fontId="1" fillId="0" borderId="0" xfId="66" applyNumberFormat="1" applyProtection="1">
      <protection hidden="1"/>
    </xf>
    <xf numFmtId="0" fontId="40" fillId="0" borderId="0" xfId="66" applyFont="1" applyFill="1" applyBorder="1" applyAlignment="1" applyProtection="1">
      <protection hidden="1"/>
    </xf>
    <xf numFmtId="0" fontId="1" fillId="0" borderId="0" xfId="66" applyBorder="1" applyAlignment="1" applyProtection="1">
      <protection hidden="1"/>
    </xf>
    <xf numFmtId="0" fontId="39" fillId="0" borderId="0" xfId="66" applyFont="1" applyBorder="1" applyAlignment="1" applyProtection="1">
      <protection hidden="1"/>
    </xf>
    <xf numFmtId="49" fontId="33" fillId="36" borderId="0" xfId="66" applyNumberFormat="1" applyFont="1" applyFill="1" applyBorder="1" applyAlignment="1" applyProtection="1">
      <protection hidden="1"/>
    </xf>
    <xf numFmtId="49" fontId="33" fillId="35" borderId="13" xfId="66" applyNumberFormat="1" applyFont="1" applyFill="1" applyBorder="1" applyAlignment="1" applyProtection="1">
      <protection hidden="1"/>
    </xf>
    <xf numFmtId="49" fontId="33" fillId="0" borderId="0" xfId="66" applyNumberFormat="1" applyFont="1" applyFill="1" applyBorder="1" applyAlignment="1" applyProtection="1">
      <protection hidden="1"/>
    </xf>
    <xf numFmtId="0" fontId="40" fillId="0" borderId="0" xfId="66" applyFont="1" applyBorder="1" applyAlignment="1" applyProtection="1">
      <protection hidden="1"/>
    </xf>
    <xf numFmtId="0" fontId="3" fillId="0" borderId="0" xfId="84" applyBorder="1" applyProtection="1">
      <protection hidden="1"/>
    </xf>
    <xf numFmtId="0" fontId="3" fillId="0" borderId="84" xfId="84" applyFill="1" applyBorder="1" applyAlignment="1" applyProtection="1">
      <alignment horizontal="right"/>
      <protection hidden="1"/>
    </xf>
    <xf numFmtId="0" fontId="5" fillId="0" borderId="85" xfId="0" applyFont="1" applyFill="1" applyBorder="1" applyAlignment="1" applyProtection="1">
      <alignment horizontal="right"/>
      <protection hidden="1"/>
    </xf>
    <xf numFmtId="2" fontId="11" fillId="0" borderId="0" xfId="69" applyNumberFormat="1" applyFont="1" applyProtection="1">
      <protection hidden="1"/>
    </xf>
    <xf numFmtId="0" fontId="3" fillId="0" borderId="0" xfId="66" applyFont="1" applyAlignment="1" applyProtection="1">
      <alignment horizontal="right"/>
      <protection hidden="1"/>
    </xf>
    <xf numFmtId="0" fontId="5" fillId="0" borderId="84" xfId="0" applyFont="1" applyFill="1" applyBorder="1" applyAlignment="1" applyProtection="1">
      <alignment horizontal="right"/>
      <protection hidden="1"/>
    </xf>
    <xf numFmtId="0" fontId="3" fillId="0" borderId="0" xfId="69" applyFont="1" applyAlignment="1" applyProtection="1">
      <alignment horizontal="right"/>
      <protection hidden="1"/>
    </xf>
    <xf numFmtId="1" fontId="3" fillId="13" borderId="0" xfId="66" applyNumberFormat="1" applyFont="1" applyFill="1" applyProtection="1">
      <protection hidden="1"/>
    </xf>
    <xf numFmtId="1" fontId="11" fillId="0" borderId="0" xfId="69" applyNumberFormat="1" applyFont="1" applyProtection="1">
      <protection hidden="1"/>
    </xf>
    <xf numFmtId="49" fontId="58" fillId="36" borderId="0" xfId="66" applyNumberFormat="1" applyFont="1" applyFill="1" applyBorder="1" applyAlignment="1" applyProtection="1">
      <protection hidden="1"/>
    </xf>
    <xf numFmtId="2" fontId="3" fillId="0" borderId="13" xfId="66" applyNumberFormat="1" applyFont="1" applyFill="1" applyBorder="1" applyAlignment="1" applyProtection="1">
      <protection hidden="1"/>
    </xf>
    <xf numFmtId="2" fontId="12" fillId="35" borderId="0" xfId="84" applyNumberFormat="1" applyFont="1" applyFill="1" applyBorder="1" applyProtection="1">
      <protection hidden="1"/>
    </xf>
    <xf numFmtId="0" fontId="3" fillId="0" borderId="0" xfId="66" applyFont="1" applyFill="1" applyBorder="1" applyAlignment="1" applyProtection="1">
      <protection hidden="1"/>
    </xf>
    <xf numFmtId="0" fontId="3" fillId="0" borderId="0" xfId="84" applyFont="1" applyFill="1" applyProtection="1">
      <protection hidden="1"/>
    </xf>
    <xf numFmtId="1" fontId="14" fillId="0" borderId="0" xfId="69" applyNumberFormat="1" applyFont="1" applyFill="1" applyProtection="1">
      <protection hidden="1"/>
    </xf>
    <xf numFmtId="0" fontId="3" fillId="51" borderId="0" xfId="84" applyFill="1" applyProtection="1">
      <protection hidden="1"/>
    </xf>
    <xf numFmtId="0" fontId="3" fillId="51" borderId="0" xfId="84" applyFont="1" applyFill="1" applyAlignment="1" applyProtection="1">
      <protection hidden="1"/>
    </xf>
    <xf numFmtId="165" fontId="3" fillId="0" borderId="0" xfId="66" applyNumberFormat="1" applyFont="1" applyFill="1" applyBorder="1" applyProtection="1">
      <protection hidden="1"/>
    </xf>
    <xf numFmtId="0" fontId="11" fillId="0" borderId="0" xfId="69" applyFont="1" applyFill="1" applyProtection="1">
      <protection hidden="1"/>
    </xf>
    <xf numFmtId="0" fontId="3" fillId="51" borderId="0" xfId="84" applyFill="1" applyAlignment="1" applyProtection="1">
      <protection hidden="1"/>
    </xf>
    <xf numFmtId="2" fontId="11" fillId="35" borderId="0" xfId="69" applyNumberFormat="1" applyFont="1" applyFill="1" applyProtection="1">
      <protection hidden="1"/>
    </xf>
    <xf numFmtId="1" fontId="11" fillId="35" borderId="0" xfId="69" applyNumberFormat="1" applyFont="1" applyFill="1" applyProtection="1">
      <protection hidden="1"/>
    </xf>
    <xf numFmtId="164" fontId="14" fillId="0" borderId="0" xfId="69" applyNumberFormat="1" applyFont="1" applyFill="1" applyProtection="1">
      <protection hidden="1"/>
    </xf>
    <xf numFmtId="0" fontId="43" fillId="0" borderId="0" xfId="69" applyFont="1" applyFill="1" applyBorder="1" applyProtection="1">
      <protection hidden="1"/>
    </xf>
    <xf numFmtId="0" fontId="11" fillId="35" borderId="0" xfId="66" applyFont="1" applyFill="1" applyProtection="1">
      <protection hidden="1"/>
    </xf>
    <xf numFmtId="0" fontId="3" fillId="35" borderId="0" xfId="66" applyFont="1" applyFill="1" applyAlignment="1" applyProtection="1">
      <alignment horizontal="center"/>
      <protection hidden="1"/>
    </xf>
    <xf numFmtId="164" fontId="44" fillId="0" borderId="0" xfId="69" applyNumberFormat="1" applyFont="1" applyFill="1" applyBorder="1" applyProtection="1">
      <protection hidden="1"/>
    </xf>
    <xf numFmtId="2" fontId="14" fillId="35" borderId="0" xfId="69" applyNumberFormat="1" applyFont="1" applyFill="1" applyProtection="1">
      <protection hidden="1"/>
    </xf>
    <xf numFmtId="1" fontId="14" fillId="35" borderId="0" xfId="69" applyNumberFormat="1" applyFont="1" applyFill="1" applyProtection="1">
      <protection hidden="1"/>
    </xf>
    <xf numFmtId="164" fontId="3" fillId="0" borderId="0" xfId="84" applyNumberFormat="1" applyFont="1" applyFill="1" applyProtection="1">
      <protection hidden="1"/>
    </xf>
    <xf numFmtId="164" fontId="11" fillId="0" borderId="0" xfId="69" applyNumberFormat="1" applyFont="1" applyFill="1" applyProtection="1">
      <protection hidden="1"/>
    </xf>
    <xf numFmtId="164" fontId="3" fillId="0" borderId="0" xfId="66" applyNumberFormat="1" applyFont="1" applyFill="1" applyProtection="1">
      <protection hidden="1"/>
    </xf>
    <xf numFmtId="164" fontId="11" fillId="35" borderId="0" xfId="69" applyNumberFormat="1" applyFont="1" applyFill="1" applyProtection="1">
      <protection hidden="1"/>
    </xf>
    <xf numFmtId="164" fontId="11" fillId="0" borderId="0" xfId="69" applyNumberFormat="1" applyFont="1" applyFill="1" applyAlignment="1" applyProtection="1">
      <alignment horizontal="left"/>
      <protection hidden="1"/>
    </xf>
    <xf numFmtId="164" fontId="3" fillId="35" borderId="0" xfId="66" applyNumberFormat="1" applyFont="1" applyFill="1" applyProtection="1">
      <protection hidden="1"/>
    </xf>
    <xf numFmtId="164" fontId="3" fillId="35" borderId="0" xfId="84" applyNumberFormat="1" applyFont="1" applyFill="1" applyProtection="1">
      <protection hidden="1"/>
    </xf>
    <xf numFmtId="164" fontId="3" fillId="0" borderId="0" xfId="66" applyNumberFormat="1" applyFont="1" applyAlignment="1" applyProtection="1">
      <alignment horizontal="right"/>
      <protection hidden="1"/>
    </xf>
    <xf numFmtId="164" fontId="3" fillId="0" borderId="0" xfId="66" applyNumberFormat="1" applyFont="1" applyProtection="1">
      <protection hidden="1"/>
    </xf>
    <xf numFmtId="0" fontId="168" fillId="51" borderId="0" xfId="84" applyFont="1" applyFill="1" applyAlignment="1" applyProtection="1">
      <protection hidden="1"/>
    </xf>
    <xf numFmtId="165" fontId="18" fillId="0" borderId="0" xfId="64" applyNumberFormat="1" applyFont="1" applyFill="1" applyBorder="1" applyAlignment="1" applyProtection="1">
      <alignment horizontal="center" wrapText="1"/>
      <protection hidden="1"/>
    </xf>
    <xf numFmtId="0" fontId="197" fillId="51" borderId="0" xfId="0" applyFont="1" applyFill="1" applyProtection="1">
      <protection hidden="1"/>
    </xf>
    <xf numFmtId="0" fontId="20" fillId="35" borderId="12" xfId="64" applyFont="1" applyFill="1" applyBorder="1" applyAlignment="1" applyProtection="1">
      <alignment horizontal="right"/>
      <protection hidden="1"/>
    </xf>
    <xf numFmtId="0" fontId="1" fillId="35" borderId="0" xfId="58" applyFill="1" applyAlignment="1" applyProtection="1">
      <protection hidden="1"/>
    </xf>
    <xf numFmtId="164" fontId="29" fillId="37" borderId="0" xfId="66" applyNumberFormat="1" applyFont="1" applyFill="1" applyBorder="1" applyProtection="1">
      <protection hidden="1"/>
    </xf>
    <xf numFmtId="0" fontId="29" fillId="37" borderId="0" xfId="66" applyFont="1" applyFill="1" applyBorder="1" applyProtection="1">
      <protection hidden="1"/>
    </xf>
    <xf numFmtId="0" fontId="3" fillId="0" borderId="0" xfId="84" applyFont="1" applyProtection="1">
      <protection hidden="1"/>
    </xf>
    <xf numFmtId="0" fontId="0" fillId="35" borderId="0" xfId="0" applyFill="1" applyAlignment="1" applyProtection="1">
      <alignment vertical="top" wrapText="1"/>
      <protection hidden="1"/>
    </xf>
    <xf numFmtId="0" fontId="23" fillId="35" borderId="0" xfId="66" applyFont="1" applyFill="1" applyBorder="1" applyAlignment="1" applyProtection="1">
      <alignment horizontal="center"/>
      <protection hidden="1"/>
    </xf>
    <xf numFmtId="0" fontId="46" fillId="35" borderId="0" xfId="66" applyFont="1" applyFill="1" applyBorder="1" applyAlignment="1" applyProtection="1">
      <alignment horizontal="center"/>
      <protection hidden="1"/>
    </xf>
    <xf numFmtId="0" fontId="23" fillId="35" borderId="0" xfId="66" applyFont="1" applyFill="1" applyProtection="1">
      <protection hidden="1"/>
    </xf>
    <xf numFmtId="0" fontId="63" fillId="51" borderId="0" xfId="66" applyFont="1" applyFill="1" applyAlignment="1" applyProtection="1">
      <alignment horizontal="center"/>
      <protection hidden="1"/>
    </xf>
    <xf numFmtId="0" fontId="64" fillId="51" borderId="0" xfId="66" applyFont="1" applyFill="1" applyAlignment="1" applyProtection="1">
      <alignment horizontal="center"/>
      <protection hidden="1"/>
    </xf>
    <xf numFmtId="0" fontId="1" fillId="51" borderId="0" xfId="66" applyFill="1" applyProtection="1">
      <protection hidden="1"/>
    </xf>
    <xf numFmtId="0" fontId="126" fillId="35" borderId="0" xfId="67" applyFill="1" applyProtection="1">
      <protection hidden="1"/>
    </xf>
    <xf numFmtId="0" fontId="129" fillId="0" borderId="0" xfId="0" applyFont="1" applyAlignment="1" applyProtection="1">
      <alignment horizontal="left" vertical="top" wrapText="1"/>
      <protection hidden="1"/>
    </xf>
    <xf numFmtId="0" fontId="3" fillId="51" borderId="18" xfId="67" applyFont="1" applyFill="1" applyBorder="1" applyAlignment="1" applyProtection="1">
      <alignment horizontal="center"/>
      <protection hidden="1"/>
    </xf>
    <xf numFmtId="0" fontId="3" fillId="51" borderId="0" xfId="67" applyFont="1" applyFill="1" applyBorder="1" applyAlignment="1" applyProtection="1">
      <alignment horizontal="center"/>
      <protection hidden="1"/>
    </xf>
    <xf numFmtId="0" fontId="3" fillId="35" borderId="22" xfId="67" applyFont="1" applyFill="1" applyBorder="1" applyAlignment="1" applyProtection="1">
      <alignment horizontal="center"/>
      <protection hidden="1"/>
    </xf>
    <xf numFmtId="0" fontId="3" fillId="35" borderId="0" xfId="67" applyFont="1" applyFill="1" applyBorder="1" applyAlignment="1" applyProtection="1">
      <alignment horizontal="center"/>
      <protection hidden="1"/>
    </xf>
    <xf numFmtId="0" fontId="1" fillId="35" borderId="0" xfId="69" applyFill="1" applyAlignment="1" applyProtection="1">
      <alignment horizontal="centerContinuous"/>
      <protection hidden="1"/>
    </xf>
    <xf numFmtId="0" fontId="144" fillId="35" borderId="0" xfId="69" applyNumberFormat="1" applyFont="1" applyFill="1" applyBorder="1" applyAlignment="1" applyProtection="1">
      <alignment vertical="center" wrapText="1"/>
      <protection hidden="1"/>
    </xf>
    <xf numFmtId="0" fontId="7" fillId="35" borderId="0" xfId="75" applyFont="1" applyFill="1" applyBorder="1" applyAlignment="1" applyProtection="1">
      <protection hidden="1"/>
    </xf>
    <xf numFmtId="0" fontId="1" fillId="0" borderId="0" xfId="69" applyBorder="1" applyProtection="1">
      <protection hidden="1"/>
    </xf>
    <xf numFmtId="0" fontId="13" fillId="35" borderId="0" xfId="75" applyFont="1" applyFill="1" applyBorder="1" applyAlignment="1" applyProtection="1">
      <protection hidden="1"/>
    </xf>
    <xf numFmtId="0" fontId="3" fillId="0" borderId="0" xfId="69" applyFont="1" applyProtection="1">
      <protection hidden="1"/>
    </xf>
    <xf numFmtId="0" fontId="34" fillId="35" borderId="0" xfId="84" applyFont="1" applyFill="1" applyBorder="1" applyAlignment="1" applyProtection="1">
      <alignment horizontal="right"/>
      <protection hidden="1"/>
    </xf>
    <xf numFmtId="0" fontId="3" fillId="35" borderId="0" xfId="84" applyFont="1" applyFill="1" applyBorder="1" applyAlignment="1" applyProtection="1">
      <alignment horizontal="right"/>
      <protection hidden="1"/>
    </xf>
    <xf numFmtId="0" fontId="1" fillId="51" borderId="0" xfId="69" applyFill="1" applyAlignment="1" applyProtection="1">
      <protection hidden="1"/>
    </xf>
    <xf numFmtId="0" fontId="0" fillId="51" borderId="0" xfId="0" applyFill="1" applyAlignment="1" applyProtection="1">
      <protection hidden="1"/>
    </xf>
    <xf numFmtId="0" fontId="0" fillId="0" borderId="0" xfId="0" applyBorder="1" applyAlignment="1" applyProtection="1">
      <alignment horizontal="center"/>
      <protection hidden="1"/>
    </xf>
    <xf numFmtId="0" fontId="20" fillId="35" borderId="0" xfId="69" applyFont="1" applyFill="1" applyBorder="1" applyAlignment="1" applyProtection="1">
      <alignment horizontal="right"/>
      <protection hidden="1"/>
    </xf>
    <xf numFmtId="1" fontId="57" fillId="38" borderId="0" xfId="69" applyNumberFormat="1" applyFont="1" applyFill="1" applyBorder="1" applyProtection="1">
      <protection hidden="1"/>
    </xf>
    <xf numFmtId="0" fontId="57" fillId="38" borderId="0" xfId="69" applyFont="1" applyFill="1" applyBorder="1" applyProtection="1">
      <protection hidden="1"/>
    </xf>
    <xf numFmtId="0" fontId="36" fillId="38" borderId="0" xfId="69" applyFont="1" applyFill="1" applyBorder="1" applyProtection="1">
      <protection hidden="1"/>
    </xf>
    <xf numFmtId="0" fontId="36" fillId="0" borderId="0" xfId="69" applyFont="1" applyFill="1" applyBorder="1" applyProtection="1">
      <protection hidden="1"/>
    </xf>
    <xf numFmtId="0" fontId="0" fillId="7" borderId="0" xfId="0" applyFill="1" applyBorder="1" applyProtection="1">
      <protection hidden="1"/>
    </xf>
    <xf numFmtId="0" fontId="20" fillId="35" borderId="138" xfId="64" applyFont="1" applyFill="1" applyBorder="1" applyAlignment="1" applyProtection="1">
      <alignment horizontal="center"/>
      <protection hidden="1"/>
    </xf>
    <xf numFmtId="0" fontId="42" fillId="35" borderId="0" xfId="58" applyFont="1" applyFill="1" applyAlignment="1" applyProtection="1">
      <alignment horizontal="right" wrapText="1"/>
      <protection hidden="1"/>
    </xf>
    <xf numFmtId="0" fontId="42" fillId="35" borderId="0" xfId="58" applyFont="1" applyFill="1" applyAlignment="1" applyProtection="1">
      <alignment horizontal="left" wrapText="1"/>
      <protection hidden="1"/>
    </xf>
    <xf numFmtId="0" fontId="95" fillId="35" borderId="0" xfId="0" applyFont="1" applyFill="1" applyAlignment="1" applyProtection="1">
      <alignment horizontal="left" wrapText="1"/>
      <protection hidden="1"/>
    </xf>
    <xf numFmtId="0" fontId="42" fillId="35" borderId="0" xfId="0" applyFont="1" applyFill="1" applyAlignment="1" applyProtection="1">
      <alignment vertical="top" wrapText="1"/>
      <protection hidden="1"/>
    </xf>
    <xf numFmtId="0" fontId="3" fillId="0" borderId="0" xfId="69" applyFont="1" applyFill="1" applyProtection="1">
      <protection hidden="1"/>
    </xf>
    <xf numFmtId="0" fontId="95" fillId="35" borderId="0" xfId="0" applyFont="1" applyFill="1" applyAlignment="1" applyProtection="1">
      <alignment wrapText="1"/>
      <protection hidden="1"/>
    </xf>
    <xf numFmtId="0" fontId="95" fillId="35" borderId="0" xfId="69" applyFont="1" applyFill="1" applyProtection="1">
      <protection hidden="1"/>
    </xf>
    <xf numFmtId="0" fontId="0" fillId="0" borderId="0" xfId="0" applyFill="1" applyBorder="1" applyAlignment="1" applyProtection="1">
      <alignment shrinkToFit="1"/>
      <protection hidden="1"/>
    </xf>
    <xf numFmtId="1" fontId="11" fillId="0" borderId="16" xfId="69" applyNumberFormat="1" applyFont="1" applyFill="1" applyBorder="1" applyAlignment="1" applyProtection="1">
      <protection hidden="1"/>
    </xf>
    <xf numFmtId="1" fontId="3" fillId="0" borderId="0" xfId="69" applyNumberFormat="1" applyFont="1" applyFill="1" applyProtection="1">
      <protection hidden="1"/>
    </xf>
    <xf numFmtId="1" fontId="3" fillId="0" borderId="0" xfId="69" applyNumberFormat="1" applyFont="1" applyProtection="1">
      <protection hidden="1"/>
    </xf>
    <xf numFmtId="164" fontId="11" fillId="0" borderId="16" xfId="69" applyNumberFormat="1" applyFont="1" applyBorder="1" applyProtection="1">
      <protection hidden="1"/>
    </xf>
    <xf numFmtId="0" fontId="3" fillId="0" borderId="0" xfId="69" applyFont="1" applyBorder="1" applyProtection="1">
      <protection hidden="1"/>
    </xf>
    <xf numFmtId="0" fontId="11" fillId="0" borderId="0" xfId="69" applyFont="1" applyProtection="1">
      <protection hidden="1"/>
    </xf>
    <xf numFmtId="2" fontId="3" fillId="0" borderId="0" xfId="84" applyNumberFormat="1" applyFont="1" applyBorder="1" applyProtection="1">
      <protection hidden="1"/>
    </xf>
    <xf numFmtId="0" fontId="11" fillId="0" borderId="16" xfId="69" applyFont="1" applyBorder="1" applyProtection="1">
      <protection hidden="1"/>
    </xf>
    <xf numFmtId="0" fontId="3" fillId="0" borderId="0" xfId="84" applyFill="1" applyAlignment="1" applyProtection="1">
      <alignment horizontal="center"/>
      <protection hidden="1"/>
    </xf>
    <xf numFmtId="0" fontId="3" fillId="0" borderId="0" xfId="84" applyFont="1" applyFill="1" applyBorder="1" applyAlignment="1" applyProtection="1">
      <alignment horizontal="center"/>
      <protection hidden="1"/>
    </xf>
    <xf numFmtId="2" fontId="3" fillId="0" borderId="25" xfId="76" applyNumberFormat="1" applyFont="1" applyFill="1" applyBorder="1" applyAlignment="1" applyProtection="1">
      <alignment horizontal="center"/>
      <protection hidden="1"/>
    </xf>
    <xf numFmtId="0" fontId="3" fillId="0" borderId="25" xfId="76" applyFont="1" applyFill="1" applyBorder="1" applyAlignment="1" applyProtection="1">
      <alignment horizontal="center"/>
      <protection hidden="1"/>
    </xf>
    <xf numFmtId="0" fontId="3" fillId="0" borderId="25" xfId="76" applyFont="1" applyBorder="1" applyAlignment="1" applyProtection="1">
      <alignment horizontal="center"/>
      <protection hidden="1"/>
    </xf>
    <xf numFmtId="0" fontId="3" fillId="0" borderId="25" xfId="86" applyFont="1" applyBorder="1" applyAlignment="1" applyProtection="1">
      <alignment horizontal="center"/>
      <protection hidden="1"/>
    </xf>
    <xf numFmtId="0" fontId="3" fillId="35" borderId="31" xfId="76" applyFont="1" applyFill="1" applyBorder="1" applyAlignment="1" applyProtection="1">
      <alignment horizontal="center"/>
      <protection hidden="1"/>
    </xf>
    <xf numFmtId="0" fontId="3" fillId="35" borderId="31" xfId="86" applyFont="1" applyFill="1" applyBorder="1" applyAlignment="1" applyProtection="1">
      <alignment horizontal="center"/>
      <protection hidden="1"/>
    </xf>
    <xf numFmtId="0" fontId="3" fillId="0" borderId="0" xfId="76" applyFont="1" applyFill="1" applyProtection="1">
      <protection hidden="1"/>
    </xf>
    <xf numFmtId="0" fontId="3" fillId="0" borderId="0" xfId="86" applyFont="1" applyFill="1" applyProtection="1">
      <protection hidden="1"/>
    </xf>
    <xf numFmtId="0" fontId="3" fillId="0" borderId="0" xfId="86" applyFont="1" applyFill="1" applyBorder="1" applyProtection="1">
      <protection hidden="1"/>
    </xf>
    <xf numFmtId="0" fontId="3" fillId="0" borderId="0" xfId="79" applyFont="1" applyFill="1" applyAlignment="1" applyProtection="1">
      <alignment horizontal="left"/>
      <protection hidden="1"/>
    </xf>
    <xf numFmtId="0" fontId="3" fillId="0" borderId="0" xfId="76" applyFont="1" applyProtection="1">
      <protection hidden="1"/>
    </xf>
    <xf numFmtId="0" fontId="11" fillId="0" borderId="0" xfId="0" applyFont="1" applyFill="1" applyAlignment="1" applyProtection="1">
      <protection hidden="1"/>
    </xf>
    <xf numFmtId="0" fontId="11" fillId="0" borderId="0" xfId="76" applyFont="1" applyAlignment="1" applyProtection="1">
      <alignment horizontal="center"/>
      <protection hidden="1"/>
    </xf>
    <xf numFmtId="0" fontId="3" fillId="35" borderId="124" xfId="69" applyFont="1" applyFill="1" applyBorder="1" applyAlignment="1" applyProtection="1">
      <alignment horizontal="center"/>
      <protection hidden="1"/>
    </xf>
    <xf numFmtId="164" fontId="3" fillId="35" borderId="124" xfId="69" applyNumberFormat="1" applyFont="1" applyFill="1" applyBorder="1" applyAlignment="1" applyProtection="1">
      <alignment horizontal="center"/>
      <protection hidden="1"/>
    </xf>
    <xf numFmtId="0" fontId="20" fillId="35" borderId="0" xfId="0" applyFont="1" applyFill="1" applyAlignment="1" applyProtection="1">
      <alignment horizontal="center"/>
      <protection hidden="1"/>
    </xf>
    <xf numFmtId="0" fontId="143" fillId="35" borderId="0" xfId="81" applyFont="1" applyFill="1" applyBorder="1" applyAlignment="1" applyProtection="1">
      <protection hidden="1"/>
    </xf>
    <xf numFmtId="1" fontId="11" fillId="35" borderId="77" xfId="69" applyNumberFormat="1" applyFont="1" applyFill="1" applyBorder="1" applyAlignment="1" applyProtection="1">
      <protection hidden="1"/>
    </xf>
    <xf numFmtId="0" fontId="3" fillId="0" borderId="0" xfId="86" applyFont="1" applyFill="1" applyBorder="1" applyAlignment="1" applyProtection="1">
      <protection hidden="1"/>
    </xf>
    <xf numFmtId="164" fontId="3" fillId="35" borderId="160" xfId="69" applyNumberFormat="1" applyFont="1" applyFill="1" applyBorder="1" applyAlignment="1" applyProtection="1">
      <alignment horizontal="center"/>
      <protection hidden="1"/>
    </xf>
    <xf numFmtId="164" fontId="3" fillId="35" borderId="144" xfId="69" applyNumberFormat="1" applyFont="1" applyFill="1" applyBorder="1" applyAlignment="1" applyProtection="1">
      <alignment horizontal="center"/>
      <protection hidden="1"/>
    </xf>
    <xf numFmtId="2" fontId="3" fillId="35" borderId="144" xfId="69" applyNumberFormat="1" applyFont="1" applyFill="1" applyBorder="1" applyAlignment="1" applyProtection="1">
      <alignment horizontal="center"/>
      <protection hidden="1"/>
    </xf>
    <xf numFmtId="164" fontId="3" fillId="35" borderId="161" xfId="69" applyNumberFormat="1" applyFont="1" applyFill="1" applyBorder="1" applyAlignment="1" applyProtection="1">
      <alignment horizontal="center"/>
      <protection hidden="1"/>
    </xf>
    <xf numFmtId="0" fontId="5" fillId="51" borderId="0" xfId="86" applyFill="1" applyProtection="1">
      <protection hidden="1"/>
    </xf>
    <xf numFmtId="164" fontId="16" fillId="35" borderId="0" xfId="46" applyNumberFormat="1" applyFont="1" applyFill="1" applyBorder="1" applyAlignment="1" applyProtection="1">
      <protection hidden="1"/>
    </xf>
    <xf numFmtId="0" fontId="10" fillId="0" borderId="0" xfId="69" applyFont="1" applyProtection="1">
      <protection hidden="1"/>
    </xf>
    <xf numFmtId="0" fontId="3" fillId="0" borderId="0" xfId="66" applyFont="1" applyAlignment="1" applyProtection="1">
      <alignment horizontal="center"/>
      <protection hidden="1"/>
    </xf>
    <xf numFmtId="14" fontId="3" fillId="0" borderId="0" xfId="66" applyNumberFormat="1" applyFont="1" applyAlignment="1" applyProtection="1">
      <alignment horizontal="right"/>
      <protection hidden="1"/>
    </xf>
    <xf numFmtId="0" fontId="13" fillId="0" borderId="0" xfId="66" applyFont="1" applyAlignment="1" applyProtection="1">
      <alignment horizontal="center"/>
      <protection hidden="1"/>
    </xf>
    <xf numFmtId="1" fontId="3" fillId="0" borderId="0" xfId="69" applyNumberFormat="1" applyFont="1" applyAlignment="1" applyProtection="1">
      <alignment horizontal="center"/>
      <protection hidden="1"/>
    </xf>
    <xf numFmtId="0" fontId="86" fillId="35" borderId="0" xfId="66" applyFont="1" applyFill="1" applyAlignment="1" applyProtection="1">
      <protection hidden="1"/>
    </xf>
    <xf numFmtId="0" fontId="135" fillId="35" borderId="0" xfId="81" applyNumberFormat="1" applyFont="1" applyFill="1" applyAlignment="1" applyProtection="1">
      <protection hidden="1"/>
    </xf>
    <xf numFmtId="2" fontId="11" fillId="35" borderId="0" xfId="76" applyNumberFormat="1" applyFont="1" applyFill="1" applyAlignment="1" applyProtection="1">
      <protection hidden="1"/>
    </xf>
    <xf numFmtId="49" fontId="3" fillId="37" borderId="84" xfId="0" applyNumberFormat="1" applyFont="1" applyFill="1" applyBorder="1" applyAlignment="1" applyProtection="1">
      <alignment horizontal="right"/>
      <protection locked="0"/>
    </xf>
    <xf numFmtId="49" fontId="3" fillId="37" borderId="85" xfId="0" applyNumberFormat="1" applyFont="1" applyFill="1" applyBorder="1" applyAlignment="1" applyProtection="1">
      <alignment horizontal="right"/>
      <protection locked="0"/>
    </xf>
    <xf numFmtId="0" fontId="3" fillId="37" borderId="84" xfId="0" applyFont="1" applyFill="1" applyBorder="1" applyAlignment="1" applyProtection="1">
      <alignment horizontal="right"/>
      <protection locked="0"/>
    </xf>
    <xf numFmtId="0" fontId="3" fillId="37" borderId="60" xfId="0" applyFont="1" applyFill="1" applyBorder="1" applyAlignment="1" applyProtection="1">
      <protection locked="0"/>
    </xf>
    <xf numFmtId="0" fontId="148" fillId="51" borderId="0" xfId="0" applyFont="1" applyFill="1" applyAlignment="1" applyProtection="1">
      <alignment wrapText="1"/>
      <protection hidden="1"/>
    </xf>
    <xf numFmtId="0" fontId="149" fillId="51" borderId="0" xfId="0" applyFont="1" applyFill="1" applyAlignment="1" applyProtection="1">
      <alignment horizontal="left" wrapText="1"/>
      <protection hidden="1"/>
    </xf>
    <xf numFmtId="0" fontId="166" fillId="51" borderId="0" xfId="0" applyFont="1" applyFill="1" applyAlignment="1" applyProtection="1">
      <protection hidden="1"/>
    </xf>
    <xf numFmtId="0" fontId="7" fillId="51" borderId="0" xfId="0" applyFont="1" applyFill="1" applyAlignment="1" applyProtection="1">
      <protection hidden="1"/>
    </xf>
    <xf numFmtId="0" fontId="162" fillId="51" borderId="0" xfId="0" applyFont="1" applyFill="1" applyAlignment="1" applyProtection="1">
      <protection hidden="1"/>
    </xf>
    <xf numFmtId="174" fontId="52" fillId="51" borderId="0" xfId="46" applyNumberFormat="1" applyFont="1" applyFill="1" applyAlignment="1" applyProtection="1">
      <alignment vertical="center"/>
      <protection hidden="1"/>
    </xf>
    <xf numFmtId="0" fontId="19" fillId="51" borderId="0" xfId="0" applyFont="1" applyFill="1" applyAlignment="1" applyProtection="1">
      <protection hidden="1"/>
    </xf>
    <xf numFmtId="0" fontId="147" fillId="51" borderId="0" xfId="46" applyFont="1" applyFill="1" applyAlignment="1" applyProtection="1">
      <alignment horizontal="left"/>
      <protection hidden="1"/>
    </xf>
    <xf numFmtId="0" fontId="34" fillId="51" borderId="0" xfId="0" applyFont="1" applyFill="1" applyAlignment="1" applyProtection="1">
      <alignment horizontal="left"/>
      <protection hidden="1"/>
    </xf>
    <xf numFmtId="0" fontId="12" fillId="51" borderId="0" xfId="0" applyFont="1" applyFill="1" applyAlignment="1" applyProtection="1">
      <protection hidden="1"/>
    </xf>
    <xf numFmtId="0" fontId="5" fillId="51" borderId="0" xfId="0" applyFont="1" applyFill="1" applyAlignment="1" applyProtection="1">
      <protection hidden="1"/>
    </xf>
    <xf numFmtId="0" fontId="41" fillId="51" borderId="0" xfId="0" applyFont="1" applyFill="1" applyAlignment="1" applyProtection="1">
      <alignment horizontal="left" wrapText="1"/>
      <protection hidden="1"/>
    </xf>
    <xf numFmtId="0" fontId="124" fillId="51" borderId="0" xfId="0" applyFont="1" applyFill="1" applyAlignment="1" applyProtection="1">
      <alignment horizontal="left" wrapText="1"/>
      <protection hidden="1"/>
    </xf>
    <xf numFmtId="1" fontId="58" fillId="35" borderId="0" xfId="0" applyNumberFormat="1" applyFont="1" applyFill="1" applyBorder="1" applyAlignment="1" applyProtection="1">
      <protection hidden="1"/>
    </xf>
    <xf numFmtId="1" fontId="3" fillId="35" borderId="0" xfId="84" applyNumberFormat="1" applyFont="1" applyFill="1" applyBorder="1" applyAlignment="1" applyProtection="1">
      <protection hidden="1"/>
    </xf>
    <xf numFmtId="1" fontId="3" fillId="35" borderId="15" xfId="69" applyNumberFormat="1" applyFont="1" applyFill="1" applyBorder="1" applyAlignment="1" applyProtection="1">
      <alignment horizontal="left"/>
      <protection hidden="1"/>
    </xf>
    <xf numFmtId="164" fontId="58" fillId="35" borderId="0" xfId="0" applyNumberFormat="1" applyFont="1" applyFill="1" applyBorder="1" applyAlignment="1" applyProtection="1">
      <protection hidden="1"/>
    </xf>
    <xf numFmtId="164" fontId="58" fillId="35" borderId="0" xfId="91" applyNumberFormat="1" applyFont="1" applyFill="1" applyBorder="1" applyAlignment="1" applyProtection="1">
      <alignment horizontal="left"/>
      <protection hidden="1"/>
    </xf>
    <xf numFmtId="164" fontId="66" fillId="35" borderId="0" xfId="91" applyNumberFormat="1" applyFont="1" applyFill="1" applyBorder="1" applyAlignment="1" applyProtection="1">
      <alignment horizontal="left"/>
      <protection hidden="1"/>
    </xf>
    <xf numFmtId="164" fontId="58" fillId="0" borderId="0" xfId="84" applyNumberFormat="1" applyFont="1" applyBorder="1" applyAlignment="1" applyProtection="1">
      <alignment horizontal="right"/>
      <protection hidden="1"/>
    </xf>
    <xf numFmtId="164" fontId="3" fillId="35" borderId="0" xfId="91" applyNumberFormat="1" applyFont="1" applyFill="1" applyBorder="1" applyAlignment="1" applyProtection="1">
      <alignment horizontal="center"/>
      <protection hidden="1"/>
    </xf>
    <xf numFmtId="164" fontId="66" fillId="35" borderId="0" xfId="91" applyNumberFormat="1" applyFont="1" applyFill="1" applyBorder="1" applyAlignment="1" applyProtection="1">
      <alignment horizontal="center"/>
      <protection hidden="1"/>
    </xf>
    <xf numFmtId="164" fontId="96" fillId="35" borderId="0" xfId="91" applyNumberFormat="1" applyFont="1" applyFill="1" applyBorder="1" applyAlignment="1" applyProtection="1">
      <alignment horizontal="left"/>
      <protection hidden="1"/>
    </xf>
    <xf numFmtId="164" fontId="58" fillId="35" borderId="0" xfId="84" applyNumberFormat="1" applyFont="1" applyFill="1" applyBorder="1" applyAlignment="1" applyProtection="1">
      <alignment horizontal="right"/>
      <protection hidden="1"/>
    </xf>
    <xf numFmtId="1" fontId="171" fillId="42" borderId="0" xfId="0" applyNumberFormat="1" applyFont="1" applyFill="1" applyBorder="1" applyProtection="1">
      <protection hidden="1"/>
    </xf>
    <xf numFmtId="1" fontId="171" fillId="42" borderId="0" xfId="67" applyNumberFormat="1" applyFont="1" applyFill="1" applyBorder="1" applyProtection="1">
      <protection hidden="1"/>
    </xf>
    <xf numFmtId="164" fontId="171" fillId="42" borderId="0" xfId="0" applyNumberFormat="1" applyFont="1" applyFill="1" applyBorder="1" applyProtection="1">
      <protection hidden="1"/>
    </xf>
    <xf numFmtId="164" fontId="171" fillId="42" borderId="0" xfId="104" applyNumberFormat="1" applyFont="1" applyFill="1" applyBorder="1" applyAlignment="1" applyProtection="1">
      <alignment horizontal="left"/>
      <protection hidden="1"/>
    </xf>
    <xf numFmtId="164" fontId="171" fillId="42" borderId="14" xfId="67" applyNumberFormat="1" applyFont="1" applyFill="1" applyBorder="1" applyAlignment="1" applyProtection="1">
      <alignment horizontal="right"/>
      <protection hidden="1"/>
    </xf>
    <xf numFmtId="164" fontId="171" fillId="42" borderId="14" xfId="104" applyNumberFormat="1" applyFont="1" applyFill="1" applyBorder="1" applyAlignment="1" applyProtection="1">
      <alignment horizontal="center"/>
      <protection hidden="1"/>
    </xf>
    <xf numFmtId="1" fontId="234" fillId="42" borderId="0" xfId="0" applyNumberFormat="1" applyFont="1" applyFill="1" applyBorder="1" applyProtection="1">
      <protection hidden="1"/>
    </xf>
    <xf numFmtId="1" fontId="234" fillId="42" borderId="0" xfId="67" applyNumberFormat="1" applyFont="1" applyFill="1" applyBorder="1" applyProtection="1">
      <protection hidden="1"/>
    </xf>
    <xf numFmtId="1" fontId="234" fillId="53" borderId="0" xfId="67" applyNumberFormat="1" applyFont="1" applyFill="1" applyBorder="1" applyProtection="1">
      <protection hidden="1"/>
    </xf>
    <xf numFmtId="164" fontId="234" fillId="42" borderId="0" xfId="0" applyNumberFormat="1" applyFont="1" applyFill="1" applyBorder="1" applyProtection="1">
      <protection hidden="1"/>
    </xf>
    <xf numFmtId="1" fontId="234" fillId="53" borderId="0" xfId="104" applyNumberFormat="1" applyFont="1" applyFill="1" applyBorder="1" applyAlignment="1" applyProtection="1">
      <alignment horizontal="left"/>
      <protection hidden="1"/>
    </xf>
    <xf numFmtId="1" fontId="236" fillId="42" borderId="0" xfId="0" applyNumberFormat="1" applyFont="1" applyFill="1" applyBorder="1" applyProtection="1">
      <protection hidden="1"/>
    </xf>
    <xf numFmtId="1" fontId="236" fillId="42" borderId="15" xfId="67" applyNumberFormat="1" applyFont="1" applyFill="1" applyBorder="1" applyAlignment="1" applyProtection="1">
      <alignment horizontal="left"/>
      <protection hidden="1"/>
    </xf>
    <xf numFmtId="1" fontId="236" fillId="53" borderId="0" xfId="0" applyNumberFormat="1" applyFont="1" applyFill="1" applyBorder="1" applyProtection="1">
      <protection hidden="1"/>
    </xf>
    <xf numFmtId="164" fontId="236" fillId="53" borderId="0" xfId="0" applyNumberFormat="1" applyFont="1" applyFill="1" applyBorder="1" applyProtection="1">
      <protection hidden="1"/>
    </xf>
    <xf numFmtId="1" fontId="236" fillId="42" borderId="15" xfId="104" applyNumberFormat="1" applyFont="1" applyFill="1" applyBorder="1" applyAlignment="1" applyProtection="1">
      <alignment horizontal="left"/>
      <protection hidden="1"/>
    </xf>
    <xf numFmtId="0" fontId="236" fillId="42" borderId="23" xfId="0" applyFont="1" applyFill="1" applyBorder="1" applyProtection="1">
      <protection hidden="1"/>
    </xf>
    <xf numFmtId="2" fontId="168" fillId="42" borderId="21" xfId="63" applyNumberFormat="1" applyFont="1" applyFill="1" applyBorder="1" applyProtection="1">
      <protection hidden="1"/>
    </xf>
    <xf numFmtId="1" fontId="109" fillId="35" borderId="170" xfId="0" applyNumberFormat="1" applyFont="1" applyFill="1" applyBorder="1" applyAlignment="1" applyProtection="1">
      <protection hidden="1"/>
    </xf>
    <xf numFmtId="1" fontId="20" fillId="35" borderId="170" xfId="84" applyNumberFormat="1" applyFont="1" applyFill="1" applyBorder="1" applyAlignment="1" applyProtection="1">
      <protection hidden="1"/>
    </xf>
    <xf numFmtId="1" fontId="93" fillId="35" borderId="170" xfId="0" applyNumberFormat="1" applyFont="1" applyFill="1" applyBorder="1" applyAlignment="1" applyProtection="1">
      <protection hidden="1"/>
    </xf>
    <xf numFmtId="1" fontId="123" fillId="35" borderId="170" xfId="0" applyNumberFormat="1" applyFont="1" applyFill="1" applyBorder="1" applyAlignment="1" applyProtection="1">
      <protection hidden="1"/>
    </xf>
    <xf numFmtId="0" fontId="3" fillId="35" borderId="170" xfId="0" applyFont="1" applyFill="1" applyBorder="1" applyAlignment="1" applyProtection="1">
      <protection hidden="1"/>
    </xf>
    <xf numFmtId="1" fontId="192" fillId="42" borderId="170" xfId="0" applyNumberFormat="1" applyFont="1" applyFill="1" applyBorder="1" applyProtection="1">
      <protection hidden="1"/>
    </xf>
    <xf numFmtId="1" fontId="192" fillId="42" borderId="170" xfId="67" applyNumberFormat="1" applyFont="1" applyFill="1" applyBorder="1" applyProtection="1">
      <protection hidden="1"/>
    </xf>
    <xf numFmtId="1" fontId="236" fillId="42" borderId="171" xfId="0" applyNumberFormat="1" applyFont="1" applyFill="1" applyBorder="1" applyProtection="1">
      <protection hidden="1"/>
    </xf>
    <xf numFmtId="0" fontId="47" fillId="0" borderId="165" xfId="67" applyFont="1" applyBorder="1" applyProtection="1">
      <protection hidden="1"/>
    </xf>
    <xf numFmtId="0" fontId="3" fillId="35" borderId="11" xfId="84" applyFont="1" applyFill="1" applyBorder="1" applyAlignment="1" applyProtection="1">
      <alignment horizontal="center"/>
      <protection hidden="1"/>
    </xf>
    <xf numFmtId="0" fontId="3" fillId="35" borderId="12" xfId="84" applyFont="1" applyFill="1" applyBorder="1" applyAlignment="1" applyProtection="1">
      <alignment horizontal="center"/>
      <protection hidden="1"/>
    </xf>
    <xf numFmtId="0" fontId="232" fillId="35" borderId="0" xfId="69" applyFont="1" applyFill="1" applyBorder="1" applyAlignment="1" applyProtection="1">
      <alignment horizontal="left" vertical="center" wrapText="1"/>
      <protection hidden="1"/>
    </xf>
    <xf numFmtId="0" fontId="171" fillId="51" borderId="0" xfId="0" applyFont="1" applyFill="1" applyBorder="1" applyAlignment="1" applyProtection="1">
      <protection hidden="1"/>
    </xf>
    <xf numFmtId="0" fontId="230" fillId="51" borderId="0" xfId="108" applyFont="1" applyFill="1" applyBorder="1" applyAlignment="1" applyProtection="1">
      <protection hidden="1"/>
    </xf>
    <xf numFmtId="0" fontId="3" fillId="51" borderId="0" xfId="215" applyFont="1" applyFill="1" applyBorder="1" applyAlignment="1" applyProtection="1">
      <alignment vertical="center" wrapText="1"/>
      <protection hidden="1"/>
    </xf>
    <xf numFmtId="0" fontId="59" fillId="51" borderId="0" xfId="108" applyFont="1" applyFill="1" applyAlignment="1" applyProtection="1">
      <alignment horizontal="right"/>
      <protection hidden="1"/>
    </xf>
    <xf numFmtId="0" fontId="162" fillId="51" borderId="0" xfId="108" applyFont="1" applyFill="1" applyProtection="1">
      <protection hidden="1"/>
    </xf>
    <xf numFmtId="2" fontId="3" fillId="51" borderId="0" xfId="86" applyNumberFormat="1" applyFont="1" applyFill="1" applyAlignment="1" applyProtection="1">
      <alignment readingOrder="1"/>
      <protection hidden="1"/>
    </xf>
    <xf numFmtId="164" fontId="3" fillId="35" borderId="0" xfId="86" applyNumberFormat="1" applyFont="1" applyFill="1" applyAlignment="1" applyProtection="1">
      <protection hidden="1"/>
    </xf>
    <xf numFmtId="164" fontId="3" fillId="51" borderId="0" xfId="76" applyNumberFormat="1" applyFont="1" applyFill="1" applyBorder="1" applyAlignment="1" applyProtection="1">
      <protection hidden="1"/>
    </xf>
    <xf numFmtId="0" fontId="3" fillId="51" borderId="0" xfId="0" applyFont="1" applyFill="1" applyBorder="1" applyAlignment="1" applyProtection="1">
      <protection hidden="1"/>
    </xf>
    <xf numFmtId="0" fontId="59" fillId="42" borderId="0" xfId="67" applyFont="1" applyFill="1" applyProtection="1">
      <protection hidden="1"/>
    </xf>
    <xf numFmtId="0" fontId="3" fillId="51" borderId="0" xfId="215" applyFont="1" applyFill="1" applyBorder="1" applyAlignment="1" applyProtection="1">
      <alignment vertical="top" wrapText="1"/>
      <protection hidden="1"/>
    </xf>
    <xf numFmtId="0" fontId="85" fillId="42" borderId="0" xfId="67" applyFont="1" applyFill="1" applyAlignment="1" applyProtection="1">
      <alignment horizontal="left"/>
      <protection hidden="1"/>
    </xf>
    <xf numFmtId="0" fontId="3" fillId="35" borderId="0" xfId="84" applyFont="1" applyFill="1" applyAlignment="1" applyProtection="1">
      <alignment vertical="top" wrapText="1"/>
      <protection hidden="1"/>
    </xf>
    <xf numFmtId="0" fontId="3" fillId="0" borderId="165" xfId="69" applyFont="1" applyFill="1" applyBorder="1" applyAlignment="1" applyProtection="1">
      <alignment horizontal="center"/>
      <protection hidden="1"/>
    </xf>
    <xf numFmtId="0" fontId="232" fillId="35" borderId="0" xfId="81" applyNumberFormat="1" applyFont="1" applyFill="1" applyAlignment="1" applyProtection="1">
      <alignment vertical="center" wrapText="1"/>
      <protection hidden="1"/>
    </xf>
    <xf numFmtId="164" fontId="13" fillId="0" borderId="173" xfId="69" applyNumberFormat="1" applyFont="1" applyBorder="1" applyAlignment="1" applyProtection="1">
      <protection hidden="1"/>
    </xf>
    <xf numFmtId="164" fontId="13" fillId="0" borderId="168" xfId="69" applyNumberFormat="1" applyFont="1" applyBorder="1" applyAlignment="1" applyProtection="1">
      <protection hidden="1"/>
    </xf>
    <xf numFmtId="164" fontId="13" fillId="0" borderId="167" xfId="69" applyNumberFormat="1" applyFont="1" applyBorder="1" applyAlignment="1" applyProtection="1">
      <protection hidden="1"/>
    </xf>
    <xf numFmtId="0" fontId="3" fillId="0" borderId="167" xfId="0" applyFont="1" applyBorder="1" applyAlignment="1" applyProtection="1">
      <alignment horizontal="right" vertical="top"/>
      <protection hidden="1"/>
    </xf>
    <xf numFmtId="9" fontId="48" fillId="0" borderId="167" xfId="69" applyNumberFormat="1" applyFont="1" applyFill="1" applyBorder="1" applyAlignment="1" applyProtection="1">
      <protection hidden="1"/>
    </xf>
    <xf numFmtId="0" fontId="48" fillId="0" borderId="167" xfId="69" applyFont="1" applyFill="1" applyBorder="1" applyAlignment="1" applyProtection="1">
      <alignment horizontal="right"/>
      <protection hidden="1"/>
    </xf>
    <xf numFmtId="0" fontId="47" fillId="51" borderId="0" xfId="0" applyFont="1" applyFill="1" applyAlignment="1" applyProtection="1">
      <protection hidden="1"/>
    </xf>
    <xf numFmtId="0" fontId="3" fillId="73" borderId="17" xfId="81" applyNumberFormat="1" applyFont="1" applyFill="1" applyBorder="1" applyAlignment="1" applyProtection="1">
      <alignment horizontal="right"/>
      <protection hidden="1"/>
    </xf>
    <xf numFmtId="0" fontId="47" fillId="73" borderId="17" xfId="67" applyNumberFormat="1" applyFont="1" applyFill="1" applyBorder="1" applyAlignment="1" applyProtection="1">
      <alignment horizontal="center"/>
      <protection locked="0"/>
    </xf>
    <xf numFmtId="0" fontId="3" fillId="73" borderId="0" xfId="80" applyNumberFormat="1" applyFont="1" applyFill="1" applyProtection="1">
      <protection locked="0"/>
    </xf>
    <xf numFmtId="0" fontId="3" fillId="35" borderId="0" xfId="51" applyNumberFormat="1" applyFont="1" applyFill="1" applyAlignment="1" applyProtection="1">
      <protection hidden="1"/>
    </xf>
    <xf numFmtId="0" fontId="13" fillId="0" borderId="0" xfId="0" applyFont="1" applyFill="1" applyBorder="1" applyAlignment="1" applyProtection="1">
      <protection hidden="1"/>
    </xf>
    <xf numFmtId="0" fontId="184" fillId="0" borderId="0" xfId="76" applyFont="1" applyProtection="1">
      <protection hidden="1"/>
    </xf>
    <xf numFmtId="2" fontId="184" fillId="0" borderId="0" xfId="76" applyNumberFormat="1" applyFont="1" applyProtection="1">
      <protection hidden="1"/>
    </xf>
    <xf numFmtId="0" fontId="5" fillId="0" borderId="0" xfId="86" applyProtection="1">
      <protection hidden="1"/>
    </xf>
    <xf numFmtId="0" fontId="3" fillId="35" borderId="13" xfId="84" applyFill="1" applyBorder="1" applyAlignment="1" applyProtection="1">
      <protection hidden="1"/>
    </xf>
    <xf numFmtId="0" fontId="85" fillId="42" borderId="0" xfId="67" applyFont="1" applyFill="1" applyAlignment="1" applyProtection="1">
      <alignment vertical="top"/>
      <protection hidden="1"/>
    </xf>
    <xf numFmtId="0" fontId="1" fillId="51" borderId="0" xfId="69" applyFill="1" applyProtection="1">
      <protection hidden="1"/>
    </xf>
    <xf numFmtId="0" fontId="1" fillId="51" borderId="0" xfId="69" applyFill="1" applyBorder="1" applyProtection="1">
      <protection hidden="1"/>
    </xf>
    <xf numFmtId="0" fontId="205" fillId="0" borderId="124" xfId="107" applyFont="1" applyBorder="1" applyAlignment="1" applyProtection="1">
      <alignment horizontal="center"/>
      <protection hidden="1"/>
    </xf>
    <xf numFmtId="0" fontId="191" fillId="0" borderId="16" xfId="107" applyFont="1" applyBorder="1" applyAlignment="1" applyProtection="1">
      <alignment horizontal="center"/>
      <protection hidden="1"/>
    </xf>
    <xf numFmtId="0" fontId="191" fillId="0" borderId="16" xfId="107" applyFont="1" applyBorder="1" applyAlignment="1" applyProtection="1">
      <protection hidden="1"/>
    </xf>
    <xf numFmtId="0" fontId="191" fillId="0" borderId="177" xfId="107" applyFont="1" applyBorder="1" applyAlignment="1" applyProtection="1">
      <alignment horizontal="center"/>
      <protection hidden="1"/>
    </xf>
    <xf numFmtId="0" fontId="191" fillId="0" borderId="177" xfId="107" applyFont="1" applyBorder="1" applyAlignment="1" applyProtection="1">
      <protection hidden="1"/>
    </xf>
    <xf numFmtId="0" fontId="191" fillId="0" borderId="178" xfId="107" applyFont="1" applyBorder="1" applyAlignment="1" applyProtection="1">
      <alignment horizontal="center"/>
      <protection hidden="1"/>
    </xf>
    <xf numFmtId="0" fontId="191" fillId="0" borderId="178" xfId="107" applyFont="1" applyBorder="1" applyAlignment="1" applyProtection="1">
      <protection hidden="1"/>
    </xf>
    <xf numFmtId="0" fontId="191" fillId="0" borderId="72" xfId="107" applyFont="1" applyBorder="1" applyAlignment="1" applyProtection="1">
      <alignment horizontal="center"/>
      <protection hidden="1"/>
    </xf>
    <xf numFmtId="0" fontId="191" fillId="0" borderId="72" xfId="107" applyFont="1" applyBorder="1" applyAlignment="1" applyProtection="1">
      <protection hidden="1"/>
    </xf>
    <xf numFmtId="0" fontId="191" fillId="0" borderId="16" xfId="107" applyFont="1" applyBorder="1" applyAlignment="1" applyProtection="1">
      <alignment horizontal="left"/>
      <protection hidden="1"/>
    </xf>
    <xf numFmtId="0" fontId="191" fillId="0" borderId="178" xfId="107" applyFont="1" applyBorder="1" applyAlignment="1" applyProtection="1">
      <alignment horizontal="left"/>
      <protection hidden="1"/>
    </xf>
    <xf numFmtId="0" fontId="191" fillId="0" borderId="177" xfId="107" applyFont="1" applyBorder="1" applyAlignment="1" applyProtection="1">
      <alignment horizontal="left"/>
      <protection hidden="1"/>
    </xf>
    <xf numFmtId="0" fontId="191" fillId="0" borderId="179" xfId="107" applyFont="1" applyBorder="1" applyAlignment="1" applyProtection="1">
      <alignment horizontal="center"/>
      <protection hidden="1"/>
    </xf>
    <xf numFmtId="0" fontId="191" fillId="0" borderId="179" xfId="107" applyFont="1" applyBorder="1" applyAlignment="1" applyProtection="1">
      <protection hidden="1"/>
    </xf>
    <xf numFmtId="164" fontId="245" fillId="35" borderId="21" xfId="66" applyNumberFormat="1" applyFont="1" applyFill="1" applyBorder="1" applyAlignment="1" applyProtection="1">
      <protection hidden="1"/>
    </xf>
    <xf numFmtId="0" fontId="245" fillId="35" borderId="19" xfId="66" applyFont="1" applyFill="1" applyBorder="1" applyAlignment="1" applyProtection="1">
      <protection hidden="1"/>
    </xf>
    <xf numFmtId="164" fontId="249" fillId="35" borderId="21" xfId="66" applyNumberFormat="1" applyFont="1" applyFill="1" applyBorder="1" applyAlignment="1" applyProtection="1">
      <protection hidden="1"/>
    </xf>
    <xf numFmtId="0" fontId="249" fillId="35" borderId="19" xfId="66" applyFont="1" applyFill="1" applyBorder="1" applyAlignment="1" applyProtection="1">
      <protection hidden="1"/>
    </xf>
    <xf numFmtId="0" fontId="47" fillId="74" borderId="73" xfId="63" applyFont="1" applyFill="1" applyBorder="1" applyProtection="1">
      <protection locked="0"/>
    </xf>
    <xf numFmtId="0" fontId="47" fillId="74" borderId="74" xfId="63" applyFont="1" applyFill="1" applyBorder="1" applyProtection="1">
      <protection locked="0"/>
    </xf>
    <xf numFmtId="0" fontId="47" fillId="74" borderId="75" xfId="63" applyFont="1" applyFill="1" applyBorder="1" applyProtection="1">
      <protection locked="0"/>
    </xf>
    <xf numFmtId="0" fontId="47" fillId="74" borderId="76" xfId="63" applyFont="1" applyFill="1" applyBorder="1" applyProtection="1">
      <protection locked="0"/>
    </xf>
    <xf numFmtId="0" fontId="47" fillId="74" borderId="77" xfId="63" applyFont="1" applyFill="1" applyBorder="1" applyProtection="1">
      <protection locked="0"/>
    </xf>
    <xf numFmtId="0" fontId="47" fillId="74" borderId="78" xfId="63" applyFont="1" applyFill="1" applyBorder="1" applyProtection="1">
      <protection locked="0"/>
    </xf>
    <xf numFmtId="0" fontId="47" fillId="74" borderId="79" xfId="63" applyFont="1" applyFill="1" applyBorder="1" applyProtection="1">
      <protection locked="0"/>
    </xf>
    <xf numFmtId="0" fontId="47" fillId="74" borderId="80" xfId="63" applyFont="1" applyFill="1" applyBorder="1" applyProtection="1">
      <protection locked="0"/>
    </xf>
    <xf numFmtId="0" fontId="47" fillId="74" borderId="81" xfId="63" applyFont="1" applyFill="1" applyBorder="1" applyProtection="1">
      <protection locked="0"/>
    </xf>
    <xf numFmtId="0" fontId="47" fillId="74" borderId="92" xfId="63" applyFont="1" applyFill="1" applyBorder="1" applyProtection="1">
      <protection locked="0"/>
    </xf>
    <xf numFmtId="0" fontId="47" fillId="74" borderId="93" xfId="63" applyFont="1" applyFill="1" applyBorder="1" applyProtection="1">
      <protection locked="0"/>
    </xf>
    <xf numFmtId="0" fontId="47" fillId="74" borderId="94" xfId="63" applyFont="1" applyFill="1" applyBorder="1" applyProtection="1">
      <protection locked="0"/>
    </xf>
    <xf numFmtId="0" fontId="11" fillId="74" borderId="19" xfId="63" applyFont="1" applyFill="1" applyBorder="1" applyProtection="1">
      <protection locked="0"/>
    </xf>
    <xf numFmtId="0" fontId="11" fillId="74" borderId="17" xfId="63" applyFont="1" applyFill="1" applyBorder="1" applyProtection="1">
      <protection locked="0"/>
    </xf>
    <xf numFmtId="2" fontId="245" fillId="74" borderId="91" xfId="0" applyNumberFormat="1" applyFont="1" applyFill="1" applyBorder="1" applyProtection="1">
      <protection locked="0"/>
    </xf>
    <xf numFmtId="0" fontId="47" fillId="76" borderId="76" xfId="63" applyFont="1" applyFill="1" applyBorder="1" applyProtection="1">
      <protection locked="0"/>
    </xf>
    <xf numFmtId="0" fontId="47" fillId="76" borderId="77" xfId="63" applyFont="1" applyFill="1" applyBorder="1" applyProtection="1">
      <protection locked="0"/>
    </xf>
    <xf numFmtId="0" fontId="47" fillId="76" borderId="78" xfId="63" applyFont="1" applyFill="1" applyBorder="1" applyProtection="1">
      <protection locked="0"/>
    </xf>
    <xf numFmtId="0" fontId="47" fillId="76" borderId="79" xfId="63" applyFont="1" applyFill="1" applyBorder="1" applyProtection="1">
      <protection locked="0"/>
    </xf>
    <xf numFmtId="0" fontId="47" fillId="76" borderId="80" xfId="63" applyFont="1" applyFill="1" applyBorder="1" applyProtection="1">
      <protection locked="0"/>
    </xf>
    <xf numFmtId="0" fontId="47" fillId="76" borderId="81" xfId="63" applyFont="1" applyFill="1" applyBorder="1" applyProtection="1">
      <protection locked="0"/>
    </xf>
    <xf numFmtId="0" fontId="11" fillId="76" borderId="11" xfId="63" applyFont="1" applyFill="1" applyBorder="1" applyProtection="1">
      <protection locked="0"/>
    </xf>
    <xf numFmtId="0" fontId="3" fillId="75" borderId="55" xfId="66" applyFont="1" applyFill="1" applyBorder="1" applyAlignment="1" applyProtection="1">
      <protection locked="0"/>
    </xf>
    <xf numFmtId="0" fontId="3" fillId="75" borderId="56" xfId="66" applyFont="1" applyFill="1" applyBorder="1" applyAlignment="1" applyProtection="1">
      <protection locked="0"/>
    </xf>
    <xf numFmtId="0" fontId="3" fillId="75" borderId="57" xfId="66" applyFont="1" applyFill="1" applyBorder="1" applyAlignment="1" applyProtection="1">
      <protection locked="0"/>
    </xf>
    <xf numFmtId="0" fontId="3" fillId="75" borderId="59" xfId="66" applyFont="1" applyFill="1" applyBorder="1" applyAlignment="1" applyProtection="1">
      <protection locked="0"/>
    </xf>
    <xf numFmtId="0" fontId="3" fillId="75" borderId="60" xfId="66" applyFont="1" applyFill="1" applyBorder="1" applyAlignment="1" applyProtection="1">
      <protection locked="0"/>
    </xf>
    <xf numFmtId="0" fontId="3" fillId="75" borderId="61" xfId="66" applyFont="1" applyFill="1" applyBorder="1" applyAlignment="1" applyProtection="1">
      <protection locked="0"/>
    </xf>
    <xf numFmtId="0" fontId="3" fillId="75" borderId="53" xfId="66" applyFont="1" applyFill="1" applyBorder="1" applyAlignment="1" applyProtection="1">
      <protection locked="0"/>
    </xf>
    <xf numFmtId="0" fontId="3" fillId="75" borderId="58" xfId="66" applyFont="1" applyFill="1" applyBorder="1" applyAlignment="1" applyProtection="1">
      <protection locked="0"/>
    </xf>
    <xf numFmtId="0" fontId="3" fillId="75" borderId="54" xfId="66" applyFont="1" applyFill="1" applyBorder="1" applyAlignment="1" applyProtection="1">
      <protection locked="0"/>
    </xf>
    <xf numFmtId="0" fontId="250" fillId="75" borderId="17" xfId="0" applyFont="1" applyFill="1" applyBorder="1" applyProtection="1">
      <protection locked="0"/>
    </xf>
    <xf numFmtId="0" fontId="3" fillId="71" borderId="55" xfId="66" applyFont="1" applyFill="1" applyBorder="1" applyAlignment="1" applyProtection="1">
      <protection locked="0"/>
    </xf>
    <xf numFmtId="0" fontId="3" fillId="71" borderId="56" xfId="66" applyFont="1" applyFill="1" applyBorder="1" applyAlignment="1" applyProtection="1">
      <protection locked="0"/>
    </xf>
    <xf numFmtId="0" fontId="3" fillId="71" borderId="57" xfId="66" applyFont="1" applyFill="1" applyBorder="1" applyAlignment="1" applyProtection="1">
      <protection locked="0"/>
    </xf>
    <xf numFmtId="0" fontId="3" fillId="71" borderId="59" xfId="66" applyFont="1" applyFill="1" applyBorder="1" applyAlignment="1" applyProtection="1">
      <protection locked="0"/>
    </xf>
    <xf numFmtId="0" fontId="3" fillId="71" borderId="60" xfId="66" applyFont="1" applyFill="1" applyBorder="1" applyAlignment="1" applyProtection="1">
      <protection locked="0"/>
    </xf>
    <xf numFmtId="0" fontId="3" fillId="71" borderId="61" xfId="66" applyFont="1" applyFill="1" applyBorder="1" applyAlignment="1" applyProtection="1">
      <protection locked="0"/>
    </xf>
    <xf numFmtId="0" fontId="3" fillId="71" borderId="53" xfId="66" applyFont="1" applyFill="1" applyBorder="1" applyAlignment="1" applyProtection="1">
      <protection locked="0"/>
    </xf>
    <xf numFmtId="0" fontId="3" fillId="71" borderId="58" xfId="66" applyFont="1" applyFill="1" applyBorder="1" applyAlignment="1" applyProtection="1">
      <protection locked="0"/>
    </xf>
    <xf numFmtId="0" fontId="3" fillId="71" borderId="54" xfId="66" applyFont="1" applyFill="1" applyBorder="1" applyAlignment="1" applyProtection="1">
      <protection locked="0"/>
    </xf>
    <xf numFmtId="0" fontId="47" fillId="75" borderId="10" xfId="67" applyFont="1" applyFill="1" applyBorder="1" applyProtection="1">
      <protection locked="0"/>
    </xf>
    <xf numFmtId="0" fontId="47" fillId="75" borderId="24" xfId="67" applyFont="1" applyFill="1" applyBorder="1" applyAlignment="1" applyProtection="1">
      <alignment horizontal="left"/>
      <protection locked="0"/>
    </xf>
    <xf numFmtId="2" fontId="3" fillId="35" borderId="175" xfId="66" applyNumberFormat="1" applyFont="1" applyFill="1" applyBorder="1" applyAlignment="1" applyProtection="1">
      <protection hidden="1"/>
    </xf>
    <xf numFmtId="164" fontId="12" fillId="35" borderId="0" xfId="66" applyNumberFormat="1" applyFont="1" applyFill="1" applyBorder="1" applyAlignment="1" applyProtection="1">
      <alignment horizontal="right"/>
      <protection hidden="1"/>
    </xf>
    <xf numFmtId="0" fontId="3" fillId="0" borderId="0" xfId="69" applyFont="1" applyAlignment="1" applyProtection="1">
      <alignment horizontal="center"/>
      <protection hidden="1"/>
    </xf>
    <xf numFmtId="0" fontId="3" fillId="51" borderId="167" xfId="108" applyFont="1" applyFill="1" applyBorder="1" applyAlignment="1" applyProtection="1">
      <alignment vertical="center" wrapText="1"/>
      <protection hidden="1"/>
    </xf>
    <xf numFmtId="0" fontId="3" fillId="51" borderId="0" xfId="108" applyFont="1" applyFill="1" applyBorder="1" applyAlignment="1" applyProtection="1">
      <alignment vertical="center" wrapText="1"/>
      <protection hidden="1"/>
    </xf>
    <xf numFmtId="0" fontId="17" fillId="0" borderId="172" xfId="0" applyFont="1" applyBorder="1" applyProtection="1">
      <protection hidden="1"/>
    </xf>
    <xf numFmtId="1" fontId="11" fillId="0" borderId="167" xfId="69" applyNumberFormat="1" applyFont="1" applyFill="1" applyBorder="1" applyAlignment="1" applyProtection="1">
      <protection hidden="1"/>
    </xf>
    <xf numFmtId="0" fontId="1" fillId="35" borderId="0" xfId="69" applyFill="1" applyAlignment="1" applyProtection="1">
      <alignment horizontal="right"/>
      <protection hidden="1"/>
    </xf>
    <xf numFmtId="0" fontId="65" fillId="35" borderId="138" xfId="69" applyFont="1" applyFill="1" applyBorder="1" applyAlignment="1" applyProtection="1">
      <alignment horizontal="left"/>
      <protection hidden="1"/>
    </xf>
    <xf numFmtId="164" fontId="58" fillId="35" borderId="184" xfId="0" applyNumberFormat="1" applyFont="1" applyFill="1" applyBorder="1" applyAlignment="1" applyProtection="1">
      <protection hidden="1"/>
    </xf>
    <xf numFmtId="0" fontId="55" fillId="51" borderId="0" xfId="46" applyFont="1" applyFill="1" applyAlignment="1" applyProtection="1">
      <alignment horizontal="right"/>
      <protection hidden="1"/>
    </xf>
    <xf numFmtId="164" fontId="11" fillId="35" borderId="0" xfId="69" applyNumberFormat="1" applyFont="1" applyFill="1" applyBorder="1" applyAlignment="1" applyProtection="1">
      <alignment horizontal="left"/>
      <protection hidden="1"/>
    </xf>
    <xf numFmtId="0" fontId="1" fillId="51" borderId="0" xfId="66" applyFill="1" applyAlignment="1" applyProtection="1">
      <alignment horizontal="left"/>
      <protection hidden="1"/>
    </xf>
    <xf numFmtId="0" fontId="86" fillId="35" borderId="0" xfId="69" applyFont="1" applyFill="1" applyAlignment="1" applyProtection="1">
      <alignment wrapText="1"/>
      <protection hidden="1"/>
    </xf>
    <xf numFmtId="0" fontId="1" fillId="51" borderId="0" xfId="69" applyFill="1" applyAlignment="1" applyProtection="1">
      <alignment horizontal="left"/>
      <protection hidden="1"/>
    </xf>
    <xf numFmtId="0" fontId="85" fillId="35" borderId="0" xfId="0" applyFont="1" applyFill="1" applyProtection="1">
      <protection hidden="1"/>
    </xf>
    <xf numFmtId="0" fontId="1" fillId="37" borderId="172" xfId="0" applyFont="1" applyFill="1" applyBorder="1" applyProtection="1">
      <protection locked="0"/>
    </xf>
    <xf numFmtId="0" fontId="3" fillId="71" borderId="165" xfId="69" applyFont="1" applyFill="1" applyBorder="1" applyAlignment="1" applyProtection="1">
      <alignment horizontal="center"/>
      <protection locked="0"/>
    </xf>
    <xf numFmtId="0" fontId="126" fillId="71" borderId="10" xfId="63" applyFont="1" applyFill="1" applyBorder="1" applyAlignment="1" applyProtection="1">
      <protection locked="0"/>
    </xf>
    <xf numFmtId="0" fontId="126" fillId="71" borderId="13" xfId="63" applyFont="1" applyFill="1" applyBorder="1" applyAlignment="1" applyProtection="1">
      <protection locked="0"/>
    </xf>
    <xf numFmtId="0" fontId="3" fillId="71" borderId="13" xfId="0" applyFont="1" applyFill="1" applyBorder="1" applyProtection="1">
      <protection locked="0"/>
    </xf>
    <xf numFmtId="0" fontId="126" fillId="71" borderId="20" xfId="63" applyFont="1" applyFill="1" applyBorder="1" applyAlignment="1" applyProtection="1">
      <protection locked="0"/>
    </xf>
    <xf numFmtId="0" fontId="232" fillId="35" borderId="0" xfId="81" applyNumberFormat="1" applyFont="1" applyFill="1" applyAlignment="1" applyProtection="1">
      <alignment horizontal="center" vertical="center" wrapText="1"/>
      <protection hidden="1"/>
    </xf>
    <xf numFmtId="0" fontId="52" fillId="51" borderId="0" xfId="46" applyFont="1" applyFill="1" applyAlignment="1" applyProtection="1">
      <alignment wrapText="1"/>
      <protection hidden="1"/>
    </xf>
    <xf numFmtId="0" fontId="256" fillId="35" borderId="0" xfId="52" applyNumberFormat="1" applyFont="1" applyFill="1" applyAlignment="1" applyProtection="1">
      <alignment horizontal="right"/>
      <protection hidden="1"/>
    </xf>
    <xf numFmtId="2" fontId="257" fillId="35" borderId="48" xfId="0" applyNumberFormat="1" applyFont="1" applyFill="1" applyBorder="1" applyAlignment="1" applyProtection="1">
      <protection hidden="1"/>
    </xf>
    <xf numFmtId="0" fontId="47" fillId="42" borderId="13" xfId="63" applyFont="1" applyFill="1" applyBorder="1" applyProtection="1">
      <protection hidden="1"/>
    </xf>
    <xf numFmtId="0" fontId="85" fillId="42" borderId="13" xfId="63" applyFont="1" applyFill="1" applyBorder="1" applyProtection="1">
      <protection hidden="1"/>
    </xf>
    <xf numFmtId="0" fontId="85" fillId="45" borderId="13" xfId="0" applyFont="1" applyFill="1" applyBorder="1" applyProtection="1">
      <protection hidden="1"/>
    </xf>
    <xf numFmtId="0" fontId="47" fillId="37" borderId="17" xfId="0" applyNumberFormat="1" applyFont="1" applyFill="1" applyBorder="1" applyAlignment="1" applyProtection="1">
      <alignment horizontal="center"/>
      <protection locked="0"/>
    </xf>
    <xf numFmtId="0" fontId="47" fillId="44" borderId="36" xfId="67" applyFont="1" applyFill="1" applyBorder="1" applyAlignment="1" applyProtection="1">
      <alignment horizontal="center"/>
      <protection locked="0"/>
    </xf>
    <xf numFmtId="0" fontId="47" fillId="44" borderId="37" xfId="67" applyFont="1" applyFill="1" applyBorder="1" applyAlignment="1" applyProtection="1">
      <alignment horizontal="center"/>
      <protection locked="0"/>
    </xf>
    <xf numFmtId="0" fontId="47" fillId="44" borderId="38" xfId="67" applyFont="1" applyFill="1" applyBorder="1" applyAlignment="1" applyProtection="1">
      <alignment horizontal="center"/>
      <protection locked="0"/>
    </xf>
    <xf numFmtId="0" fontId="47" fillId="44" borderId="44" xfId="67" applyFont="1" applyFill="1" applyBorder="1" applyAlignment="1" applyProtection="1">
      <alignment horizontal="center"/>
      <protection locked="0"/>
    </xf>
    <xf numFmtId="0" fontId="47" fillId="44" borderId="44" xfId="0" applyFont="1" applyFill="1" applyBorder="1" applyAlignment="1" applyProtection="1">
      <alignment horizontal="center" wrapText="1"/>
      <protection locked="0"/>
    </xf>
    <xf numFmtId="0" fontId="47" fillId="44" borderId="44" xfId="0" applyFont="1" applyFill="1" applyBorder="1" applyAlignment="1" applyProtection="1">
      <alignment horizontal="center"/>
      <protection locked="0"/>
    </xf>
    <xf numFmtId="0" fontId="47" fillId="44" borderId="46" xfId="0" applyFont="1" applyFill="1" applyBorder="1" applyAlignment="1" applyProtection="1">
      <alignment horizontal="center"/>
      <protection locked="0"/>
    </xf>
    <xf numFmtId="0" fontId="47" fillId="44" borderId="20" xfId="67" applyFont="1" applyFill="1" applyBorder="1" applyAlignment="1" applyProtection="1">
      <alignment horizontal="center"/>
      <protection locked="0"/>
    </xf>
    <xf numFmtId="0" fontId="47" fillId="44" borderId="16" xfId="67" applyFont="1" applyFill="1" applyBorder="1" applyAlignment="1" applyProtection="1">
      <alignment horizontal="center"/>
      <protection locked="0"/>
    </xf>
    <xf numFmtId="0" fontId="47" fillId="44" borderId="45" xfId="67" applyFont="1" applyFill="1" applyBorder="1" applyAlignment="1" applyProtection="1">
      <alignment horizontal="center"/>
      <protection locked="0"/>
    </xf>
    <xf numFmtId="0" fontId="47" fillId="44" borderId="42" xfId="67" applyFont="1" applyFill="1" applyBorder="1" applyAlignment="1" applyProtection="1">
      <alignment horizontal="center"/>
      <protection locked="0"/>
    </xf>
    <xf numFmtId="0" fontId="5" fillId="35" borderId="0" xfId="84" applyFont="1" applyFill="1" applyBorder="1" applyAlignment="1" applyProtection="1">
      <alignment horizontal="left"/>
      <protection hidden="1"/>
    </xf>
    <xf numFmtId="0" fontId="0" fillId="51" borderId="0" xfId="0" applyFill="1" applyBorder="1" applyAlignment="1" applyProtection="1">
      <protection hidden="1"/>
    </xf>
    <xf numFmtId="0" fontId="3" fillId="35" borderId="15" xfId="66" applyFont="1" applyFill="1" applyBorder="1" applyAlignment="1" applyProtection="1">
      <alignment horizontal="centerContinuous"/>
      <protection hidden="1"/>
    </xf>
    <xf numFmtId="0" fontId="3" fillId="35" borderId="171" xfId="66" applyFont="1" applyFill="1" applyBorder="1" applyAlignment="1" applyProtection="1">
      <alignment horizontal="centerContinuous"/>
      <protection hidden="1"/>
    </xf>
    <xf numFmtId="164" fontId="58" fillId="35" borderId="96" xfId="0" applyNumberFormat="1" applyFont="1" applyFill="1" applyBorder="1" applyAlignment="1" applyProtection="1">
      <protection hidden="1"/>
    </xf>
    <xf numFmtId="164" fontId="66" fillId="35" borderId="96" xfId="0" applyNumberFormat="1" applyFont="1" applyFill="1" applyBorder="1" applyAlignment="1" applyProtection="1">
      <protection hidden="1"/>
    </xf>
    <xf numFmtId="164" fontId="96" fillId="35" borderId="96" xfId="0" applyNumberFormat="1" applyFont="1" applyFill="1" applyBorder="1" applyAlignment="1" applyProtection="1">
      <protection hidden="1"/>
    </xf>
    <xf numFmtId="0" fontId="3" fillId="35" borderId="96" xfId="0" applyFont="1" applyFill="1" applyBorder="1" applyAlignment="1" applyProtection="1">
      <protection hidden="1"/>
    </xf>
    <xf numFmtId="0" fontId="3" fillId="35" borderId="176" xfId="84" applyFont="1" applyFill="1" applyBorder="1" applyProtection="1">
      <protection hidden="1"/>
    </xf>
    <xf numFmtId="0" fontId="3" fillId="0" borderId="0" xfId="67" applyFont="1" applyFill="1" applyProtection="1">
      <protection hidden="1"/>
    </xf>
    <xf numFmtId="1" fontId="3" fillId="0" borderId="0" xfId="67" applyNumberFormat="1" applyFont="1" applyFill="1" applyAlignment="1" applyProtection="1">
      <alignment horizontal="left"/>
      <protection hidden="1"/>
    </xf>
    <xf numFmtId="0" fontId="3" fillId="0" borderId="0" xfId="67" applyFont="1" applyFill="1" applyAlignment="1" applyProtection="1">
      <alignment horizontal="left"/>
      <protection hidden="1"/>
    </xf>
    <xf numFmtId="1" fontId="3" fillId="0" borderId="0" xfId="67" applyNumberFormat="1" applyFont="1" applyFill="1" applyProtection="1">
      <protection hidden="1"/>
    </xf>
    <xf numFmtId="0" fontId="1" fillId="0" borderId="0" xfId="0" applyFont="1" applyFill="1" applyProtection="1">
      <protection hidden="1"/>
    </xf>
    <xf numFmtId="0" fontId="86" fillId="35" borderId="0" xfId="69" applyFont="1" applyFill="1" applyAlignment="1" applyProtection="1">
      <alignment horizontal="center" wrapText="1"/>
      <protection hidden="1"/>
    </xf>
    <xf numFmtId="0" fontId="3" fillId="35" borderId="0" xfId="69" applyFont="1" applyFill="1" applyAlignment="1" applyProtection="1">
      <alignment horizontal="centerContinuous" wrapText="1"/>
      <protection hidden="1"/>
    </xf>
    <xf numFmtId="0" fontId="1" fillId="35" borderId="0" xfId="69" applyFont="1" applyFill="1" applyAlignment="1" applyProtection="1">
      <alignment horizontal="centerContinuous" wrapText="1"/>
      <protection hidden="1"/>
    </xf>
    <xf numFmtId="0" fontId="1" fillId="0" borderId="0" xfId="69" applyFont="1" applyFill="1" applyBorder="1" applyProtection="1">
      <protection hidden="1"/>
    </xf>
    <xf numFmtId="166" fontId="11" fillId="0" borderId="0" xfId="69" applyNumberFormat="1" applyFont="1" applyFill="1" applyBorder="1" applyProtection="1">
      <protection hidden="1"/>
    </xf>
    <xf numFmtId="0" fontId="11" fillId="0" borderId="0" xfId="69" applyNumberFormat="1" applyFont="1" applyFill="1" applyBorder="1" applyProtection="1">
      <protection hidden="1"/>
    </xf>
    <xf numFmtId="0" fontId="3" fillId="0" borderId="179" xfId="69" applyFont="1" applyFill="1" applyBorder="1" applyAlignment="1" applyProtection="1">
      <alignment vertical="center"/>
      <protection locked="0"/>
    </xf>
    <xf numFmtId="0" fontId="3" fillId="0" borderId="179" xfId="69" applyFont="1" applyBorder="1" applyAlignment="1" applyProtection="1">
      <alignment vertical="center"/>
      <protection locked="0"/>
    </xf>
    <xf numFmtId="0" fontId="3" fillId="35" borderId="179" xfId="69" applyFont="1" applyFill="1" applyBorder="1" applyAlignment="1" applyProtection="1">
      <alignment horizontal="left" vertical="center" wrapText="1"/>
      <protection locked="0"/>
    </xf>
    <xf numFmtId="0" fontId="3" fillId="0" borderId="179" xfId="0" applyFont="1" applyBorder="1" applyAlignment="1" applyProtection="1">
      <alignment horizontal="center" vertical="center"/>
      <protection locked="0"/>
    </xf>
    <xf numFmtId="49" fontId="11" fillId="35" borderId="165" xfId="69" applyNumberFormat="1" applyFont="1" applyFill="1" applyBorder="1" applyAlignment="1" applyProtection="1">
      <alignment horizontal="center"/>
      <protection locked="0"/>
    </xf>
    <xf numFmtId="0" fontId="15" fillId="0" borderId="179" xfId="69" applyFont="1" applyBorder="1" applyAlignment="1" applyProtection="1">
      <alignment horizontal="center" vertical="center"/>
      <protection locked="0"/>
    </xf>
    <xf numFmtId="0" fontId="3" fillId="0" borderId="165" xfId="69" applyFont="1" applyBorder="1" applyAlignment="1" applyProtection="1">
      <alignment vertical="center"/>
      <protection locked="0"/>
    </xf>
    <xf numFmtId="0" fontId="3" fillId="35" borderId="165" xfId="69" applyFont="1" applyFill="1" applyBorder="1" applyAlignment="1" applyProtection="1">
      <alignment horizontal="left" vertical="center" wrapText="1"/>
      <protection locked="0"/>
    </xf>
    <xf numFmtId="0" fontId="3" fillId="0" borderId="165" xfId="0" applyFont="1" applyBorder="1" applyAlignment="1" applyProtection="1">
      <alignment horizontal="center" vertical="center"/>
      <protection locked="0"/>
    </xf>
    <xf numFmtId="0" fontId="15" fillId="0" borderId="165" xfId="69" applyFont="1" applyBorder="1" applyAlignment="1" applyProtection="1">
      <alignment horizontal="center" vertical="center"/>
      <protection locked="0"/>
    </xf>
    <xf numFmtId="164" fontId="96" fillId="35" borderId="138" xfId="66" applyNumberFormat="1" applyFont="1" applyFill="1" applyBorder="1" applyAlignment="1" applyProtection="1">
      <alignment horizontal="right"/>
      <protection hidden="1"/>
    </xf>
    <xf numFmtId="164" fontId="11" fillId="35" borderId="168" xfId="69" applyNumberFormat="1" applyFont="1" applyFill="1" applyBorder="1" applyAlignment="1" applyProtection="1">
      <alignment horizontal="right"/>
      <protection hidden="1"/>
    </xf>
    <xf numFmtId="0" fontId="112" fillId="35" borderId="138" xfId="69" applyFont="1" applyFill="1" applyBorder="1" applyAlignment="1" applyProtection="1">
      <protection hidden="1"/>
    </xf>
    <xf numFmtId="0" fontId="112" fillId="35" borderId="168" xfId="69" applyFont="1" applyFill="1" applyBorder="1" applyAlignment="1" applyProtection="1">
      <protection hidden="1"/>
    </xf>
    <xf numFmtId="0" fontId="3" fillId="35" borderId="165" xfId="69" applyFont="1" applyFill="1" applyBorder="1" applyAlignment="1" applyProtection="1">
      <alignment horizontal="left" wrapText="1"/>
      <protection locked="0"/>
    </xf>
    <xf numFmtId="1" fontId="15" fillId="35" borderId="165" xfId="69" applyNumberFormat="1" applyFont="1" applyFill="1" applyBorder="1" applyAlignment="1" applyProtection="1">
      <alignment horizontal="center" wrapText="1"/>
      <protection locked="0"/>
    </xf>
    <xf numFmtId="0" fontId="15" fillId="0" borderId="165" xfId="69" applyFont="1" applyBorder="1" applyAlignment="1" applyProtection="1">
      <alignment horizontal="center"/>
      <protection locked="0"/>
    </xf>
    <xf numFmtId="164" fontId="11" fillId="35" borderId="15" xfId="69" applyNumberFormat="1" applyFont="1" applyFill="1" applyBorder="1" applyAlignment="1" applyProtection="1">
      <alignment horizontal="right"/>
      <protection hidden="1"/>
    </xf>
    <xf numFmtId="0" fontId="3" fillId="0" borderId="165" xfId="69" applyFont="1" applyBorder="1" applyAlignment="1" applyProtection="1">
      <alignment horizontal="center" vertical="center"/>
      <protection locked="0"/>
    </xf>
    <xf numFmtId="49" fontId="11" fillId="0" borderId="165" xfId="69" applyNumberFormat="1" applyFont="1" applyBorder="1" applyAlignment="1" applyProtection="1">
      <alignment horizontal="center" vertical="center"/>
      <protection locked="0"/>
    </xf>
    <xf numFmtId="164" fontId="11" fillId="35" borderId="15" xfId="66" applyNumberFormat="1" applyFont="1" applyFill="1" applyBorder="1" applyAlignment="1" applyProtection="1">
      <protection hidden="1"/>
    </xf>
    <xf numFmtId="1" fontId="245" fillId="35" borderId="0" xfId="0" applyNumberFormat="1" applyFont="1" applyFill="1" applyBorder="1" applyAlignment="1" applyProtection="1">
      <protection hidden="1"/>
    </xf>
    <xf numFmtId="0" fontId="0" fillId="51" borderId="0" xfId="0" applyFill="1" applyBorder="1" applyProtection="1">
      <protection hidden="1"/>
    </xf>
    <xf numFmtId="1" fontId="261" fillId="51" borderId="0" xfId="0" applyNumberFormat="1" applyFont="1" applyFill="1" applyBorder="1" applyProtection="1">
      <protection hidden="1"/>
    </xf>
    <xf numFmtId="0" fontId="3" fillId="51" borderId="0" xfId="0" applyFont="1" applyFill="1" applyBorder="1" applyProtection="1">
      <protection hidden="1"/>
    </xf>
    <xf numFmtId="1" fontId="262" fillId="0" borderId="0" xfId="0" applyNumberFormat="1" applyFont="1" applyBorder="1" applyAlignment="1" applyProtection="1">
      <protection hidden="1"/>
    </xf>
    <xf numFmtId="1" fontId="261" fillId="35" borderId="0" xfId="0" applyNumberFormat="1" applyFont="1" applyFill="1" applyBorder="1" applyAlignment="1" applyProtection="1">
      <protection hidden="1"/>
    </xf>
    <xf numFmtId="1" fontId="262" fillId="35" borderId="0" xfId="0" applyNumberFormat="1" applyFont="1" applyFill="1" applyBorder="1" applyAlignment="1" applyProtection="1">
      <protection hidden="1"/>
    </xf>
    <xf numFmtId="0" fontId="3" fillId="35" borderId="165" xfId="69" applyFont="1" applyFill="1" applyBorder="1" applyAlignment="1" applyProtection="1">
      <alignment horizontal="center" wrapText="1"/>
      <protection locked="0"/>
    </xf>
    <xf numFmtId="164" fontId="58" fillId="35" borderId="184" xfId="91" applyNumberFormat="1" applyFont="1" applyFill="1" applyBorder="1" applyAlignment="1" applyProtection="1">
      <alignment horizontal="left"/>
      <protection hidden="1"/>
    </xf>
    <xf numFmtId="164" fontId="66" fillId="35" borderId="184" xfId="0" applyNumberFormat="1" applyFont="1" applyFill="1" applyBorder="1" applyAlignment="1" applyProtection="1">
      <protection hidden="1"/>
    </xf>
    <xf numFmtId="164" fontId="66" fillId="35" borderId="184" xfId="91" applyNumberFormat="1" applyFont="1" applyFill="1" applyBorder="1" applyAlignment="1" applyProtection="1">
      <alignment horizontal="left"/>
      <protection hidden="1"/>
    </xf>
    <xf numFmtId="164" fontId="96" fillId="35" borderId="184" xfId="0" applyNumberFormat="1" applyFont="1" applyFill="1" applyBorder="1" applyAlignment="1" applyProtection="1">
      <protection hidden="1"/>
    </xf>
    <xf numFmtId="164" fontId="96" fillId="35" borderId="187" xfId="91" applyNumberFormat="1" applyFont="1" applyFill="1" applyBorder="1" applyAlignment="1" applyProtection="1">
      <alignment horizontal="left"/>
      <protection hidden="1"/>
    </xf>
    <xf numFmtId="1" fontId="110" fillId="35" borderId="170" xfId="0" applyNumberFormat="1" applyFont="1" applyFill="1" applyBorder="1" applyAlignment="1" applyProtection="1">
      <protection hidden="1"/>
    </xf>
    <xf numFmtId="1" fontId="110" fillId="35" borderId="171" xfId="0" applyNumberFormat="1" applyFont="1" applyFill="1" applyBorder="1" applyAlignment="1" applyProtection="1">
      <protection hidden="1"/>
    </xf>
    <xf numFmtId="164" fontId="96" fillId="51" borderId="0" xfId="84" applyNumberFormat="1" applyFont="1" applyFill="1" applyBorder="1" applyAlignment="1" applyProtection="1">
      <protection hidden="1"/>
    </xf>
    <xf numFmtId="0" fontId="3" fillId="0" borderId="165" xfId="69" applyFont="1" applyFill="1" applyBorder="1" applyAlignment="1" applyProtection="1">
      <alignment vertical="center"/>
      <protection locked="0"/>
    </xf>
    <xf numFmtId="1" fontId="3" fillId="51" borderId="0" xfId="69" applyNumberFormat="1" applyFont="1" applyFill="1" applyBorder="1" applyAlignment="1" applyProtection="1">
      <protection hidden="1"/>
    </xf>
    <xf numFmtId="0" fontId="15" fillId="0" borderId="165" xfId="108" applyFont="1" applyBorder="1" applyAlignment="1" applyProtection="1">
      <alignment horizontal="center"/>
      <protection locked="0"/>
    </xf>
    <xf numFmtId="0" fontId="3" fillId="35" borderId="0" xfId="91" applyFont="1" applyFill="1" applyBorder="1" applyAlignment="1" applyProtection="1">
      <alignment horizontal="right"/>
      <protection hidden="1"/>
    </xf>
    <xf numFmtId="0" fontId="1" fillId="51" borderId="0" xfId="69" applyFont="1" applyFill="1" applyBorder="1" applyAlignment="1" applyProtection="1">
      <protection hidden="1"/>
    </xf>
    <xf numFmtId="0" fontId="3" fillId="51" borderId="0" xfId="69" applyFont="1" applyFill="1" applyProtection="1">
      <protection hidden="1"/>
    </xf>
    <xf numFmtId="168" fontId="11" fillId="7" borderId="0" xfId="69" applyNumberFormat="1" applyFont="1" applyFill="1" applyBorder="1" applyProtection="1">
      <protection hidden="1"/>
    </xf>
    <xf numFmtId="0" fontId="11" fillId="7" borderId="0" xfId="69" applyFont="1" applyFill="1" applyBorder="1" applyProtection="1">
      <protection hidden="1"/>
    </xf>
    <xf numFmtId="0" fontId="1" fillId="35" borderId="167" xfId="69" applyFill="1" applyBorder="1" applyProtection="1">
      <protection hidden="1"/>
    </xf>
    <xf numFmtId="0" fontId="40" fillId="35" borderId="96" xfId="84" applyFont="1" applyFill="1" applyBorder="1" applyAlignment="1" applyProtection="1">
      <protection hidden="1"/>
    </xf>
    <xf numFmtId="0" fontId="3" fillId="39" borderId="0" xfId="69" applyFont="1" applyFill="1" applyBorder="1" applyProtection="1">
      <protection hidden="1"/>
    </xf>
    <xf numFmtId="0" fontId="1" fillId="39" borderId="0" xfId="69" applyFont="1" applyFill="1" applyBorder="1" applyProtection="1">
      <protection hidden="1"/>
    </xf>
    <xf numFmtId="0" fontId="3" fillId="0" borderId="96" xfId="69" applyFont="1" applyFill="1" applyBorder="1" applyAlignment="1" applyProtection="1">
      <alignment horizontal="centerContinuous"/>
      <protection hidden="1"/>
    </xf>
    <xf numFmtId="0" fontId="1" fillId="35" borderId="162" xfId="69" applyFill="1" applyBorder="1" applyProtection="1">
      <protection hidden="1"/>
    </xf>
    <xf numFmtId="0" fontId="20" fillId="35" borderId="163" xfId="69" applyFont="1" applyFill="1" applyBorder="1" applyAlignment="1" applyProtection="1">
      <protection hidden="1"/>
    </xf>
    <xf numFmtId="0" fontId="3" fillId="0" borderId="188" xfId="69" applyFont="1" applyBorder="1" applyAlignment="1" applyProtection="1">
      <alignment horizontal="right"/>
      <protection hidden="1"/>
    </xf>
    <xf numFmtId="0" fontId="13" fillId="0" borderId="163" xfId="69" applyFont="1" applyFill="1" applyBorder="1" applyAlignment="1" applyProtection="1">
      <alignment horizontal="right"/>
      <protection hidden="1"/>
    </xf>
    <xf numFmtId="0" fontId="13" fillId="0" borderId="162" xfId="69" applyFont="1" applyBorder="1" applyAlignment="1" applyProtection="1">
      <alignment horizontal="center"/>
      <protection hidden="1"/>
    </xf>
    <xf numFmtId="0" fontId="3" fillId="0" borderId="163" xfId="69" applyFont="1" applyBorder="1" applyAlignment="1" applyProtection="1">
      <alignment horizontal="center"/>
      <protection hidden="1"/>
    </xf>
    <xf numFmtId="0" fontId="3" fillId="0" borderId="164" xfId="69" applyFont="1" applyBorder="1" applyProtection="1">
      <protection hidden="1"/>
    </xf>
    <xf numFmtId="0" fontId="3" fillId="38" borderId="0" xfId="69" applyFont="1" applyFill="1" applyBorder="1" applyProtection="1">
      <protection hidden="1"/>
    </xf>
    <xf numFmtId="1" fontId="3" fillId="7" borderId="0" xfId="69" applyNumberFormat="1" applyFont="1" applyFill="1" applyBorder="1" applyProtection="1">
      <protection hidden="1"/>
    </xf>
    <xf numFmtId="0" fontId="3" fillId="7" borderId="0" xfId="69" applyFont="1" applyFill="1" applyBorder="1" applyProtection="1">
      <protection hidden="1"/>
    </xf>
    <xf numFmtId="0" fontId="3" fillId="37" borderId="174" xfId="0" applyFont="1" applyFill="1" applyBorder="1" applyAlignment="1" applyProtection="1">
      <protection locked="0"/>
    </xf>
    <xf numFmtId="1" fontId="13" fillId="0" borderId="138" xfId="69" applyNumberFormat="1" applyFont="1" applyBorder="1" applyAlignment="1" applyProtection="1">
      <alignment horizontal="right"/>
      <protection hidden="1"/>
    </xf>
    <xf numFmtId="0" fontId="3" fillId="0" borderId="163" xfId="69" applyFont="1" applyFill="1" applyBorder="1" applyAlignment="1" applyProtection="1">
      <alignment horizontal="center"/>
      <protection hidden="1"/>
    </xf>
    <xf numFmtId="1" fontId="11" fillId="38" borderId="0" xfId="69" applyNumberFormat="1" applyFont="1" applyFill="1" applyBorder="1" applyProtection="1">
      <protection hidden="1"/>
    </xf>
    <xf numFmtId="0" fontId="11" fillId="38" borderId="0" xfId="69" applyFont="1" applyFill="1" applyBorder="1" applyProtection="1">
      <protection hidden="1"/>
    </xf>
    <xf numFmtId="1" fontId="3" fillId="7" borderId="167" xfId="69" applyNumberFormat="1" applyFont="1" applyFill="1" applyBorder="1" applyProtection="1">
      <protection hidden="1"/>
    </xf>
    <xf numFmtId="2" fontId="3" fillId="7" borderId="0" xfId="69" applyNumberFormat="1" applyFont="1" applyFill="1" applyBorder="1" applyProtection="1">
      <protection hidden="1"/>
    </xf>
    <xf numFmtId="0" fontId="3" fillId="0" borderId="167" xfId="69" applyFont="1" applyBorder="1" applyAlignment="1" applyProtection="1">
      <protection hidden="1"/>
    </xf>
    <xf numFmtId="0" fontId="3" fillId="37" borderId="138" xfId="69" applyNumberFormat="1" applyFont="1" applyFill="1" applyBorder="1" applyAlignment="1" applyProtection="1">
      <alignment horizontal="right"/>
      <protection locked="0"/>
    </xf>
    <xf numFmtId="0" fontId="3" fillId="75" borderId="181" xfId="69" applyFont="1" applyFill="1" applyBorder="1" applyAlignment="1" applyProtection="1">
      <protection locked="0"/>
    </xf>
    <xf numFmtId="0" fontId="3" fillId="75" borderId="174" xfId="69" applyFont="1" applyFill="1" applyBorder="1" applyAlignment="1" applyProtection="1">
      <protection locked="0"/>
    </xf>
    <xf numFmtId="0" fontId="3" fillId="75" borderId="180" xfId="69" applyFont="1" applyFill="1" applyBorder="1" applyAlignment="1" applyProtection="1">
      <protection locked="0"/>
    </xf>
    <xf numFmtId="0" fontId="47" fillId="76" borderId="181" xfId="108" applyFont="1" applyFill="1" applyBorder="1" applyProtection="1">
      <protection locked="0"/>
    </xf>
    <xf numFmtId="0" fontId="47" fillId="76" borderId="174" xfId="108" applyFont="1" applyFill="1" applyBorder="1" applyProtection="1">
      <protection locked="0"/>
    </xf>
    <xf numFmtId="0" fontId="47" fillId="76" borderId="180" xfId="108" applyFont="1" applyFill="1" applyBorder="1" applyProtection="1">
      <protection locked="0"/>
    </xf>
    <xf numFmtId="1" fontId="3" fillId="0" borderId="15" xfId="58" applyNumberFormat="1" applyFont="1" applyFill="1" applyBorder="1" applyProtection="1">
      <protection hidden="1"/>
    </xf>
    <xf numFmtId="0" fontId="3" fillId="37" borderId="52" xfId="69" applyNumberFormat="1" applyFont="1" applyFill="1" applyBorder="1" applyProtection="1">
      <protection locked="0"/>
    </xf>
    <xf numFmtId="0" fontId="3" fillId="75" borderId="59" xfId="69" applyFont="1" applyFill="1" applyBorder="1" applyAlignment="1" applyProtection="1">
      <protection locked="0"/>
    </xf>
    <xf numFmtId="0" fontId="3" fillId="75" borderId="60" xfId="69" applyFont="1" applyFill="1" applyBorder="1" applyAlignment="1" applyProtection="1">
      <protection locked="0"/>
    </xf>
    <xf numFmtId="0" fontId="3" fillId="75" borderId="61" xfId="69" applyFont="1" applyFill="1" applyBorder="1" applyAlignment="1" applyProtection="1">
      <protection locked="0"/>
    </xf>
    <xf numFmtId="0" fontId="47" fillId="76" borderId="59" xfId="108" applyFont="1" applyFill="1" applyBorder="1" applyProtection="1">
      <protection locked="0"/>
    </xf>
    <xf numFmtId="0" fontId="47" fillId="76" borderId="60" xfId="108" applyFont="1" applyFill="1" applyBorder="1" applyProtection="1">
      <protection locked="0"/>
    </xf>
    <xf numFmtId="0" fontId="47" fillId="76" borderId="61" xfId="108" applyFont="1" applyFill="1" applyBorder="1" applyProtection="1">
      <protection locked="0"/>
    </xf>
    <xf numFmtId="49" fontId="11" fillId="0" borderId="165" xfId="69" applyNumberFormat="1" applyFont="1" applyFill="1" applyBorder="1" applyAlignment="1" applyProtection="1">
      <alignment horizontal="center" wrapText="1"/>
      <protection locked="0"/>
    </xf>
    <xf numFmtId="2" fontId="11" fillId="7" borderId="0" xfId="69" applyNumberFormat="1" applyFont="1" applyFill="1" applyBorder="1" applyProtection="1">
      <protection hidden="1"/>
    </xf>
    <xf numFmtId="0" fontId="3" fillId="0" borderId="165" xfId="90" applyFont="1" applyBorder="1" applyAlignment="1" applyProtection="1">
      <alignment horizontal="left" vertical="center"/>
      <protection locked="0"/>
    </xf>
    <xf numFmtId="0" fontId="3" fillId="75" borderId="182" xfId="69" applyFont="1" applyFill="1" applyBorder="1" applyAlignment="1" applyProtection="1">
      <protection locked="0"/>
    </xf>
    <xf numFmtId="0" fontId="3" fillId="75" borderId="58" xfId="69" applyFont="1" applyFill="1" applyBorder="1" applyAlignment="1" applyProtection="1">
      <protection locked="0"/>
    </xf>
    <xf numFmtId="0" fontId="3" fillId="75" borderId="54" xfId="69" applyFont="1" applyFill="1" applyBorder="1" applyAlignment="1" applyProtection="1">
      <protection locked="0"/>
    </xf>
    <xf numFmtId="0" fontId="47" fillId="76" borderId="182" xfId="108" applyFont="1" applyFill="1" applyBorder="1" applyProtection="1">
      <protection locked="0"/>
    </xf>
    <xf numFmtId="0" fontId="47" fillId="76" borderId="58" xfId="108" applyFont="1" applyFill="1" applyBorder="1" applyProtection="1">
      <protection locked="0"/>
    </xf>
    <xf numFmtId="0" fontId="47" fillId="76" borderId="54" xfId="108" applyFont="1" applyFill="1" applyBorder="1" applyProtection="1">
      <protection locked="0"/>
    </xf>
    <xf numFmtId="0" fontId="3" fillId="0" borderId="167" xfId="69" applyFont="1" applyFill="1" applyBorder="1" applyAlignment="1" applyProtection="1">
      <alignment horizontal="right"/>
      <protection hidden="1"/>
    </xf>
    <xf numFmtId="0" fontId="11" fillId="71" borderId="165" xfId="0" applyFont="1" applyFill="1" applyBorder="1" applyAlignment="1" applyProtection="1">
      <alignment horizontal="right"/>
      <protection locked="0"/>
    </xf>
    <xf numFmtId="1" fontId="10" fillId="0" borderId="176" xfId="69" applyNumberFormat="1" applyFont="1" applyFill="1" applyBorder="1" applyProtection="1">
      <protection hidden="1"/>
    </xf>
    <xf numFmtId="0" fontId="36" fillId="19" borderId="167" xfId="69" applyFont="1" applyFill="1" applyBorder="1" applyProtection="1">
      <protection hidden="1"/>
    </xf>
    <xf numFmtId="0" fontId="3" fillId="7" borderId="0" xfId="0" applyFont="1" applyFill="1" applyBorder="1" applyProtection="1">
      <protection hidden="1"/>
    </xf>
    <xf numFmtId="0" fontId="3" fillId="7" borderId="0" xfId="0" applyFont="1" applyFill="1" applyBorder="1" applyAlignment="1" applyProtection="1">
      <alignment horizontal="right"/>
      <protection hidden="1"/>
    </xf>
    <xf numFmtId="167" fontId="3" fillId="7" borderId="0" xfId="0" applyNumberFormat="1" applyFont="1" applyFill="1" applyBorder="1" applyProtection="1">
      <protection hidden="1"/>
    </xf>
    <xf numFmtId="166" fontId="11" fillId="35" borderId="0" xfId="64" applyNumberFormat="1" applyFont="1" applyFill="1" applyBorder="1" applyAlignment="1" applyProtection="1">
      <alignment horizontal="center" wrapText="1"/>
      <protection hidden="1"/>
    </xf>
    <xf numFmtId="165" fontId="20" fillId="35" borderId="172" xfId="64" applyNumberFormat="1" applyFont="1" applyFill="1" applyBorder="1" applyAlignment="1" applyProtection="1">
      <alignment horizontal="center" vertical="center" wrapText="1"/>
      <protection hidden="1"/>
    </xf>
    <xf numFmtId="1" fontId="3" fillId="0" borderId="16" xfId="69" applyNumberFormat="1" applyFont="1" applyBorder="1" applyAlignment="1" applyProtection="1">
      <protection hidden="1"/>
    </xf>
    <xf numFmtId="1" fontId="3" fillId="0" borderId="167" xfId="69" applyNumberFormat="1" applyFont="1" applyBorder="1" applyAlignment="1" applyProtection="1">
      <protection hidden="1"/>
    </xf>
    <xf numFmtId="1" fontId="3" fillId="0" borderId="0" xfId="69" applyNumberFormat="1" applyFont="1" applyBorder="1" applyAlignment="1" applyProtection="1">
      <protection hidden="1"/>
    </xf>
    <xf numFmtId="0" fontId="60" fillId="0" borderId="96" xfId="215" applyFont="1" applyBorder="1" applyAlignment="1" applyProtection="1">
      <alignment horizontal="center"/>
      <protection hidden="1"/>
    </xf>
    <xf numFmtId="0" fontId="3" fillId="0" borderId="0" xfId="0" applyFont="1" applyFill="1" applyBorder="1" applyProtection="1">
      <protection hidden="1"/>
    </xf>
    <xf numFmtId="0" fontId="11" fillId="35" borderId="0" xfId="69" applyFont="1" applyFill="1" applyBorder="1" applyAlignment="1" applyProtection="1">
      <alignment horizontal="right"/>
      <protection hidden="1"/>
    </xf>
    <xf numFmtId="0" fontId="11" fillId="35" borderId="0" xfId="69" applyFont="1" applyFill="1" applyBorder="1" applyProtection="1">
      <protection hidden="1"/>
    </xf>
    <xf numFmtId="165" fontId="3" fillId="0" borderId="0" xfId="0" applyNumberFormat="1" applyFont="1" applyFill="1" applyBorder="1" applyProtection="1">
      <protection hidden="1"/>
    </xf>
    <xf numFmtId="164" fontId="3" fillId="0" borderId="0" xfId="69" applyNumberFormat="1" applyFont="1" applyFill="1" applyBorder="1" applyProtection="1">
      <protection hidden="1"/>
    </xf>
    <xf numFmtId="0" fontId="13" fillId="51" borderId="0" xfId="69" applyFont="1" applyFill="1" applyBorder="1" applyAlignment="1" applyProtection="1">
      <alignment horizontal="left"/>
      <protection hidden="1"/>
    </xf>
    <xf numFmtId="0" fontId="3" fillId="37" borderId="0" xfId="69" applyFont="1" applyFill="1" applyBorder="1" applyProtection="1">
      <protection locked="0"/>
    </xf>
    <xf numFmtId="1" fontId="3" fillId="37" borderId="15" xfId="69" applyNumberFormat="1" applyFont="1" applyFill="1" applyBorder="1" applyProtection="1">
      <protection locked="0"/>
    </xf>
    <xf numFmtId="0" fontId="3" fillId="37" borderId="96" xfId="69" applyFont="1" applyFill="1" applyBorder="1" applyProtection="1">
      <protection locked="0"/>
    </xf>
    <xf numFmtId="1" fontId="3" fillId="37" borderId="96" xfId="69" applyNumberFormat="1" applyFont="1" applyFill="1" applyBorder="1" applyProtection="1">
      <protection locked="0"/>
    </xf>
    <xf numFmtId="1" fontId="3" fillId="37" borderId="176" xfId="69" applyNumberFormat="1" applyFont="1" applyFill="1" applyBorder="1" applyProtection="1">
      <protection locked="0"/>
    </xf>
    <xf numFmtId="0" fontId="1" fillId="0" borderId="0" xfId="69" applyFont="1" applyBorder="1" applyProtection="1">
      <protection hidden="1"/>
    </xf>
    <xf numFmtId="0" fontId="3" fillId="37" borderId="167" xfId="69" applyFont="1" applyFill="1" applyBorder="1" applyProtection="1">
      <protection locked="0"/>
    </xf>
    <xf numFmtId="164" fontId="3" fillId="37" borderId="0" xfId="69" applyNumberFormat="1" applyFont="1" applyFill="1" applyBorder="1" applyProtection="1">
      <protection locked="0"/>
    </xf>
    <xf numFmtId="1" fontId="3" fillId="0" borderId="0" xfId="69" applyNumberFormat="1" applyFont="1" applyFill="1" applyBorder="1" applyAlignment="1" applyProtection="1">
      <protection hidden="1"/>
    </xf>
    <xf numFmtId="1" fontId="11" fillId="0" borderId="0" xfId="69" applyNumberFormat="1" applyFont="1" applyFill="1" applyAlignment="1" applyProtection="1">
      <protection hidden="1"/>
    </xf>
    <xf numFmtId="0" fontId="7" fillId="0" borderId="0" xfId="66" applyFont="1" applyAlignment="1" applyProtection="1">
      <alignment horizontal="center"/>
      <protection hidden="1"/>
    </xf>
    <xf numFmtId="0" fontId="3" fillId="37" borderId="0" xfId="69" applyFont="1" applyFill="1" applyBorder="1" applyAlignment="1" applyProtection="1">
      <alignment horizontal="left"/>
      <protection locked="0"/>
    </xf>
    <xf numFmtId="0" fontId="1" fillId="0" borderId="167" xfId="69" applyBorder="1" applyProtection="1">
      <protection hidden="1"/>
    </xf>
    <xf numFmtId="0" fontId="1" fillId="37" borderId="167" xfId="69" applyFont="1" applyFill="1" applyBorder="1" applyProtection="1">
      <protection locked="0"/>
    </xf>
    <xf numFmtId="0" fontId="1" fillId="0" borderId="167" xfId="69" applyFont="1" applyBorder="1" applyProtection="1">
      <protection hidden="1"/>
    </xf>
    <xf numFmtId="0" fontId="3" fillId="0" borderId="167" xfId="69" applyFont="1" applyBorder="1" applyProtection="1">
      <protection hidden="1"/>
    </xf>
    <xf numFmtId="0" fontId="3" fillId="0" borderId="167" xfId="84" applyFont="1" applyBorder="1" applyProtection="1">
      <protection hidden="1"/>
    </xf>
    <xf numFmtId="0" fontId="47" fillId="0" borderId="0" xfId="108" applyFont="1" applyFill="1" applyAlignment="1" applyProtection="1">
      <alignment horizontal="left"/>
      <protection hidden="1"/>
    </xf>
    <xf numFmtId="0" fontId="17" fillId="0" borderId="179" xfId="0" applyFont="1" applyBorder="1" applyProtection="1">
      <protection hidden="1"/>
    </xf>
    <xf numFmtId="0" fontId="1" fillId="37" borderId="179" xfId="0" applyFont="1" applyFill="1" applyBorder="1" applyProtection="1">
      <protection locked="0"/>
    </xf>
    <xf numFmtId="0" fontId="47" fillId="37" borderId="165" xfId="108" applyFont="1" applyFill="1" applyBorder="1" applyAlignment="1" applyProtection="1">
      <alignment horizontal="center"/>
      <protection locked="0"/>
    </xf>
    <xf numFmtId="0" fontId="47" fillId="42" borderId="0" xfId="67" applyFont="1" applyFill="1" applyAlignment="1" applyProtection="1">
      <alignment wrapText="1"/>
      <protection hidden="1"/>
    </xf>
    <xf numFmtId="0" fontId="47" fillId="35" borderId="0" xfId="0" applyFont="1" applyFill="1" applyProtection="1">
      <protection hidden="1"/>
    </xf>
    <xf numFmtId="0" fontId="3" fillId="35" borderId="0" xfId="59" applyFont="1" applyFill="1" applyBorder="1" applyAlignment="1" applyProtection="1">
      <protection hidden="1"/>
    </xf>
    <xf numFmtId="0" fontId="34" fillId="35" borderId="0" xfId="84" applyFont="1" applyFill="1" applyAlignment="1" applyProtection="1">
      <alignment horizontal="right"/>
      <protection hidden="1"/>
    </xf>
    <xf numFmtId="0" fontId="47" fillId="42" borderId="191" xfId="108" applyFont="1" applyFill="1" applyBorder="1" applyAlignment="1" applyProtection="1">
      <alignment horizontal="center"/>
      <protection hidden="1"/>
    </xf>
    <xf numFmtId="0" fontId="47" fillId="42" borderId="192" xfId="108" applyFont="1" applyFill="1" applyBorder="1" applyAlignment="1" applyProtection="1">
      <alignment horizontal="center"/>
      <protection hidden="1"/>
    </xf>
    <xf numFmtId="0" fontId="252" fillId="35" borderId="193" xfId="69" applyFont="1" applyFill="1" applyBorder="1" applyAlignment="1" applyProtection="1">
      <alignment horizontal="center"/>
      <protection hidden="1"/>
    </xf>
    <xf numFmtId="2" fontId="47" fillId="42" borderId="193" xfId="67" applyNumberFormat="1" applyFont="1" applyFill="1" applyBorder="1" applyAlignment="1" applyProtection="1">
      <alignment horizontal="center"/>
      <protection hidden="1"/>
    </xf>
    <xf numFmtId="0" fontId="263" fillId="35" borderId="0" xfId="66" applyFont="1" applyFill="1" applyAlignment="1" applyProtection="1">
      <alignment horizontal="left"/>
      <protection hidden="1"/>
    </xf>
    <xf numFmtId="0" fontId="95" fillId="51" borderId="0" xfId="69" applyFont="1" applyFill="1" applyProtection="1">
      <protection hidden="1"/>
    </xf>
    <xf numFmtId="0" fontId="47" fillId="44" borderId="193" xfId="67" applyFont="1" applyFill="1" applyBorder="1" applyAlignment="1" applyProtection="1">
      <alignment horizontal="center"/>
      <protection locked="0"/>
    </xf>
    <xf numFmtId="2" fontId="47" fillId="42" borderId="162" xfId="67" applyNumberFormat="1" applyFont="1" applyFill="1" applyBorder="1" applyAlignment="1" applyProtection="1">
      <alignment horizontal="center"/>
      <protection hidden="1"/>
    </xf>
    <xf numFmtId="164" fontId="252" fillId="0" borderId="12" xfId="66" applyNumberFormat="1" applyFont="1" applyBorder="1" applyAlignment="1" applyProtection="1">
      <protection hidden="1"/>
    </xf>
    <xf numFmtId="164" fontId="252" fillId="0" borderId="23" xfId="66" applyNumberFormat="1" applyFont="1" applyBorder="1" applyAlignment="1" applyProtection="1">
      <protection hidden="1"/>
    </xf>
    <xf numFmtId="164" fontId="252" fillId="0" borderId="14" xfId="66" applyNumberFormat="1" applyFont="1" applyBorder="1" applyAlignment="1" applyProtection="1">
      <protection hidden="1"/>
    </xf>
    <xf numFmtId="164" fontId="3" fillId="0" borderId="17" xfId="66" applyNumberFormat="1" applyFont="1" applyBorder="1" applyAlignment="1" applyProtection="1">
      <protection hidden="1"/>
    </xf>
    <xf numFmtId="2" fontId="3" fillId="0" borderId="162" xfId="69" applyNumberFormat="1" applyFont="1" applyBorder="1" applyAlignment="1" applyProtection="1">
      <alignment horizontal="center"/>
      <protection hidden="1"/>
    </xf>
    <xf numFmtId="0" fontId="126" fillId="37" borderId="193" xfId="67" applyFont="1" applyFill="1" applyBorder="1" applyAlignment="1" applyProtection="1">
      <alignment horizontal="center"/>
      <protection locked="0"/>
    </xf>
    <xf numFmtId="0" fontId="95" fillId="51" borderId="0" xfId="69" applyFont="1" applyFill="1" applyAlignment="1" applyProtection="1">
      <protection hidden="1"/>
    </xf>
    <xf numFmtId="0" fontId="263" fillId="51" borderId="0" xfId="66" applyFont="1" applyFill="1" applyAlignment="1" applyProtection="1">
      <alignment horizontal="left"/>
      <protection hidden="1"/>
    </xf>
    <xf numFmtId="0" fontId="11" fillId="51" borderId="0" xfId="0" applyFont="1" applyFill="1" applyAlignment="1" applyProtection="1">
      <alignment vertical="top" wrapText="1"/>
      <protection hidden="1"/>
    </xf>
    <xf numFmtId="0" fontId="47" fillId="53" borderId="0" xfId="67" applyFont="1" applyFill="1" applyAlignment="1" applyProtection="1">
      <alignment vertical="center" wrapText="1"/>
      <protection hidden="1"/>
    </xf>
    <xf numFmtId="0" fontId="157" fillId="42" borderId="0" xfId="67" applyFont="1" applyFill="1" applyBorder="1" applyAlignment="1" applyProtection="1">
      <alignment horizontal="left" wrapText="1"/>
      <protection hidden="1"/>
    </xf>
    <xf numFmtId="0" fontId="11" fillId="42" borderId="0" xfId="63" applyFont="1" applyFill="1" applyBorder="1" applyAlignment="1" applyProtection="1">
      <alignment wrapText="1"/>
      <protection hidden="1"/>
    </xf>
    <xf numFmtId="1" fontId="236" fillId="42" borderId="0" xfId="67" applyNumberFormat="1" applyFont="1" applyFill="1" applyBorder="1" applyAlignment="1" applyProtection="1">
      <alignment horizontal="left"/>
      <protection hidden="1"/>
    </xf>
    <xf numFmtId="1" fontId="236" fillId="42" borderId="0" xfId="104" applyNumberFormat="1" applyFont="1" applyFill="1" applyBorder="1" applyAlignment="1" applyProtection="1">
      <alignment horizontal="left"/>
      <protection hidden="1"/>
    </xf>
    <xf numFmtId="0" fontId="236" fillId="42" borderId="0" xfId="0" applyFont="1" applyFill="1" applyBorder="1" applyProtection="1">
      <protection hidden="1"/>
    </xf>
    <xf numFmtId="0" fontId="246" fillId="42" borderId="0" xfId="63" applyFont="1" applyFill="1" applyBorder="1" applyAlignment="1" applyProtection="1">
      <alignment horizontal="center"/>
      <protection hidden="1"/>
    </xf>
    <xf numFmtId="0" fontId="61" fillId="42" borderId="0" xfId="63" applyFont="1" applyFill="1" applyBorder="1" applyAlignment="1" applyProtection="1">
      <alignment horizontal="center"/>
      <protection hidden="1"/>
    </xf>
    <xf numFmtId="0" fontId="47" fillId="0" borderId="0" xfId="67" applyFont="1" applyBorder="1" applyProtection="1">
      <protection hidden="1"/>
    </xf>
    <xf numFmtId="164" fontId="3" fillId="0" borderId="16" xfId="69" applyNumberFormat="1" applyFont="1" applyBorder="1" applyAlignment="1" applyProtection="1">
      <protection hidden="1"/>
    </xf>
    <xf numFmtId="164" fontId="3" fillId="0" borderId="167" xfId="69" applyNumberFormat="1" applyFont="1" applyBorder="1" applyAlignment="1" applyProtection="1">
      <protection hidden="1"/>
    </xf>
    <xf numFmtId="164" fontId="3" fillId="0" borderId="15" xfId="63" applyNumberFormat="1" applyFont="1" applyBorder="1" applyProtection="1">
      <protection hidden="1"/>
    </xf>
    <xf numFmtId="164" fontId="3" fillId="0" borderId="0" xfId="63" applyNumberFormat="1" applyFont="1" applyBorder="1" applyProtection="1">
      <protection hidden="1"/>
    </xf>
    <xf numFmtId="164" fontId="3" fillId="0" borderId="16" xfId="63" applyNumberFormat="1" applyFont="1" applyBorder="1" applyProtection="1">
      <protection hidden="1"/>
    </xf>
    <xf numFmtId="0" fontId="85" fillId="51" borderId="0" xfId="0" applyFont="1" applyFill="1" applyProtection="1">
      <protection hidden="1"/>
    </xf>
    <xf numFmtId="0" fontId="47" fillId="0" borderId="15" xfId="67" applyFont="1" applyBorder="1" applyProtection="1">
      <protection hidden="1"/>
    </xf>
    <xf numFmtId="0" fontId="47" fillId="0" borderId="15" xfId="67" applyFont="1" applyBorder="1" applyAlignment="1" applyProtection="1">
      <alignment vertical="top" wrapText="1"/>
      <protection hidden="1"/>
    </xf>
    <xf numFmtId="0" fontId="11" fillId="0" borderId="15" xfId="63" applyFont="1" applyBorder="1" applyAlignment="1" applyProtection="1">
      <alignment horizontal="left"/>
      <protection hidden="1"/>
    </xf>
    <xf numFmtId="0" fontId="11" fillId="0" borderId="15" xfId="0" applyFont="1" applyBorder="1" applyAlignment="1" applyProtection="1">
      <alignment horizontal="left"/>
      <protection hidden="1"/>
    </xf>
    <xf numFmtId="0" fontId="85" fillId="0" borderId="15" xfId="0" applyFont="1" applyBorder="1" applyProtection="1">
      <protection hidden="1"/>
    </xf>
    <xf numFmtId="0" fontId="47" fillId="0" borderId="15" xfId="0" applyFont="1" applyBorder="1" applyAlignment="1" applyProtection="1">
      <alignment horizontal="left"/>
      <protection hidden="1"/>
    </xf>
    <xf numFmtId="0" fontId="85" fillId="0" borderId="23" xfId="0" applyFont="1" applyBorder="1" applyProtection="1">
      <protection hidden="1"/>
    </xf>
    <xf numFmtId="0" fontId="34" fillId="35" borderId="0" xfId="84" applyFont="1" applyFill="1" applyAlignment="1" applyProtection="1">
      <alignment horizontal="left"/>
      <protection hidden="1"/>
    </xf>
    <xf numFmtId="2" fontId="180" fillId="51" borderId="138" xfId="70" applyNumberFormat="1" applyFont="1" applyFill="1" applyBorder="1" applyAlignment="1" applyProtection="1">
      <alignment horizontal="center" vertical="top"/>
      <protection hidden="1"/>
    </xf>
    <xf numFmtId="0" fontId="47" fillId="74" borderId="17" xfId="67" applyFont="1" applyFill="1" applyBorder="1" applyAlignment="1" applyProtection="1">
      <alignment horizontal="center"/>
      <protection locked="0"/>
    </xf>
    <xf numFmtId="0" fontId="47" fillId="74" borderId="37" xfId="67" applyFont="1" applyFill="1" applyBorder="1" applyAlignment="1" applyProtection="1">
      <alignment horizontal="center"/>
      <protection locked="0"/>
    </xf>
    <xf numFmtId="0" fontId="47" fillId="74" borderId="193" xfId="67" applyFont="1" applyFill="1" applyBorder="1" applyAlignment="1" applyProtection="1">
      <alignment horizontal="center"/>
      <protection locked="0"/>
    </xf>
    <xf numFmtId="0" fontId="3" fillId="35" borderId="193" xfId="86" applyFont="1" applyFill="1" applyBorder="1" applyProtection="1">
      <protection hidden="1"/>
    </xf>
    <xf numFmtId="164" fontId="3" fillId="51" borderId="179" xfId="74" applyNumberFormat="1" applyFont="1" applyFill="1" applyBorder="1" applyAlignment="1" applyProtection="1">
      <alignment horizontal="center"/>
      <protection hidden="1"/>
    </xf>
    <xf numFmtId="0" fontId="3" fillId="51" borderId="0" xfId="0" applyFont="1" applyFill="1" applyBorder="1" applyAlignment="1" applyProtection="1">
      <alignment vertical="center" wrapText="1"/>
      <protection hidden="1"/>
    </xf>
    <xf numFmtId="0" fontId="8" fillId="37" borderId="193" xfId="75" applyFont="1" applyFill="1" applyBorder="1" applyAlignment="1" applyProtection="1">
      <protection hidden="1"/>
    </xf>
    <xf numFmtId="0" fontId="3" fillId="41" borderId="193" xfId="66" applyFont="1" applyFill="1" applyBorder="1" applyAlignment="1" applyProtection="1">
      <protection hidden="1"/>
    </xf>
    <xf numFmtId="0" fontId="47" fillId="44" borderId="193" xfId="63" applyFont="1" applyFill="1" applyBorder="1" applyProtection="1">
      <protection hidden="1"/>
    </xf>
    <xf numFmtId="0" fontId="47" fillId="47" borderId="193" xfId="63" applyFont="1" applyFill="1" applyBorder="1" applyProtection="1">
      <protection hidden="1"/>
    </xf>
    <xf numFmtId="0" fontId="85" fillId="53" borderId="0" xfId="67" applyFont="1" applyFill="1" applyAlignment="1" applyProtection="1">
      <alignment vertical="center"/>
      <protection hidden="1"/>
    </xf>
    <xf numFmtId="0" fontId="85" fillId="53" borderId="0" xfId="67" applyFont="1" applyFill="1" applyAlignment="1" applyProtection="1">
      <alignment vertical="top"/>
      <protection hidden="1"/>
    </xf>
    <xf numFmtId="0" fontId="3" fillId="51" borderId="167" xfId="0" applyFont="1" applyFill="1" applyBorder="1" applyAlignment="1" applyProtection="1">
      <alignment vertical="center" wrapText="1"/>
      <protection hidden="1"/>
    </xf>
    <xf numFmtId="0" fontId="60" fillId="0" borderId="15" xfId="215" applyFont="1" applyBorder="1" applyAlignment="1" applyProtection="1">
      <alignment horizontal="center"/>
      <protection hidden="1"/>
    </xf>
    <xf numFmtId="0" fontId="1" fillId="0" borderId="0" xfId="69" applyFill="1" applyBorder="1" applyAlignment="1" applyProtection="1">
      <alignment horizontal="left"/>
      <protection hidden="1"/>
    </xf>
    <xf numFmtId="0" fontId="184" fillId="0" borderId="165" xfId="0" applyFont="1" applyBorder="1" applyAlignment="1" applyProtection="1">
      <alignment horizontal="center"/>
      <protection hidden="1"/>
    </xf>
    <xf numFmtId="0" fontId="184" fillId="44" borderId="172" xfId="108" applyFont="1" applyFill="1" applyBorder="1" applyAlignment="1" applyProtection="1">
      <alignment horizontal="center"/>
      <protection locked="0"/>
    </xf>
    <xf numFmtId="0" fontId="184" fillId="44" borderId="16" xfId="108" applyFont="1" applyFill="1" applyBorder="1" applyAlignment="1" applyProtection="1">
      <alignment horizontal="center"/>
      <protection locked="0"/>
    </xf>
    <xf numFmtId="0" fontId="47" fillId="0" borderId="17" xfId="67" applyNumberFormat="1" applyFont="1" applyBorder="1" applyAlignment="1" applyProtection="1">
      <alignment horizontal="center" vertical="center" wrapText="1"/>
      <protection hidden="1"/>
    </xf>
    <xf numFmtId="0" fontId="47" fillId="0" borderId="17" xfId="67" applyNumberFormat="1" applyFont="1" applyBorder="1" applyAlignment="1" applyProtection="1">
      <alignment horizontal="center" vertical="center"/>
      <protection hidden="1"/>
    </xf>
    <xf numFmtId="0" fontId="161" fillId="53" borderId="0" xfId="107" applyFont="1" applyFill="1" applyAlignment="1" applyProtection="1">
      <alignment vertical="top"/>
      <protection hidden="1"/>
    </xf>
    <xf numFmtId="0" fontId="191" fillId="44" borderId="0" xfId="107" applyFont="1" applyFill="1" applyAlignment="1" applyProtection="1">
      <alignment horizontal="center"/>
      <protection locked="0"/>
    </xf>
    <xf numFmtId="0" fontId="191" fillId="51" borderId="0" xfId="108" applyFont="1" applyFill="1" applyProtection="1">
      <protection hidden="1"/>
    </xf>
    <xf numFmtId="0" fontId="161" fillId="53" borderId="0" xfId="107" applyFont="1" applyFill="1" applyAlignment="1" applyProtection="1">
      <alignment vertical="center"/>
      <protection hidden="1"/>
    </xf>
    <xf numFmtId="0" fontId="161" fillId="53" borderId="0" xfId="107" applyFont="1" applyFill="1" applyAlignment="1" applyProtection="1">
      <alignment horizontal="center" vertical="center"/>
      <protection hidden="1"/>
    </xf>
    <xf numFmtId="164" fontId="265" fillId="0" borderId="13" xfId="63" applyNumberFormat="1" applyFont="1" applyBorder="1" applyProtection="1">
      <protection hidden="1"/>
    </xf>
    <xf numFmtId="164" fontId="265" fillId="0" borderId="20" xfId="66" applyNumberFormat="1" applyFont="1" applyBorder="1" applyAlignment="1" applyProtection="1">
      <protection hidden="1"/>
    </xf>
    <xf numFmtId="1" fontId="3" fillId="0" borderId="16" xfId="66" applyNumberFormat="1" applyFont="1" applyBorder="1" applyAlignment="1" applyProtection="1">
      <protection hidden="1"/>
    </xf>
    <xf numFmtId="1" fontId="3" fillId="0" borderId="13" xfId="66" applyNumberFormat="1" applyFont="1" applyBorder="1" applyAlignment="1" applyProtection="1">
      <protection hidden="1"/>
    </xf>
    <xf numFmtId="164" fontId="3" fillId="0" borderId="16" xfId="0" applyNumberFormat="1" applyFont="1" applyBorder="1" applyProtection="1">
      <protection hidden="1"/>
    </xf>
    <xf numFmtId="1" fontId="3" fillId="0" borderId="15" xfId="63" applyNumberFormat="1" applyFont="1" applyBorder="1" applyProtection="1">
      <protection hidden="1"/>
    </xf>
    <xf numFmtId="1" fontId="3" fillId="0" borderId="16" xfId="63" applyNumberFormat="1" applyFont="1" applyBorder="1" applyProtection="1">
      <protection hidden="1"/>
    </xf>
    <xf numFmtId="1" fontId="3" fillId="0" borderId="0" xfId="63" applyNumberFormat="1" applyFont="1" applyBorder="1" applyProtection="1">
      <protection hidden="1"/>
    </xf>
    <xf numFmtId="164" fontId="3" fillId="42" borderId="18" xfId="63" applyNumberFormat="1" applyFont="1" applyFill="1" applyBorder="1" applyProtection="1">
      <protection hidden="1"/>
    </xf>
    <xf numFmtId="164" fontId="3" fillId="42" borderId="10" xfId="63" applyNumberFormat="1" applyFont="1" applyFill="1" applyBorder="1" applyProtection="1">
      <protection hidden="1"/>
    </xf>
    <xf numFmtId="164" fontId="3" fillId="42" borderId="88" xfId="63" applyNumberFormat="1" applyFont="1" applyFill="1" applyBorder="1" applyProtection="1">
      <protection hidden="1"/>
    </xf>
    <xf numFmtId="164" fontId="3" fillId="42" borderId="91" xfId="63" applyNumberFormat="1" applyFont="1" applyFill="1" applyBorder="1" applyProtection="1">
      <protection hidden="1"/>
    </xf>
    <xf numFmtId="164" fontId="3" fillId="0" borderId="179" xfId="69" applyNumberFormat="1" applyFont="1" applyBorder="1" applyAlignment="1" applyProtection="1">
      <protection hidden="1"/>
    </xf>
    <xf numFmtId="164" fontId="3" fillId="0" borderId="175" xfId="69" applyNumberFormat="1" applyFont="1" applyBorder="1" applyAlignment="1" applyProtection="1">
      <protection hidden="1"/>
    </xf>
    <xf numFmtId="164" fontId="3" fillId="0" borderId="96" xfId="69" applyNumberFormat="1" applyFont="1" applyBorder="1" applyAlignment="1" applyProtection="1">
      <protection hidden="1"/>
    </xf>
    <xf numFmtId="164" fontId="3" fillId="0" borderId="12" xfId="66" applyNumberFormat="1" applyFont="1" applyBorder="1" applyAlignment="1" applyProtection="1">
      <protection hidden="1"/>
    </xf>
    <xf numFmtId="164" fontId="3" fillId="0" borderId="23" xfId="66" applyNumberFormat="1" applyFont="1" applyBorder="1" applyAlignment="1" applyProtection="1">
      <protection hidden="1"/>
    </xf>
    <xf numFmtId="164" fontId="3" fillId="0" borderId="14" xfId="66" applyNumberFormat="1" applyFont="1" applyBorder="1" applyAlignment="1" applyProtection="1">
      <protection hidden="1"/>
    </xf>
    <xf numFmtId="164" fontId="3" fillId="0" borderId="20" xfId="66" applyNumberFormat="1" applyFont="1" applyBorder="1" applyAlignment="1" applyProtection="1">
      <protection hidden="1"/>
    </xf>
    <xf numFmtId="0" fontId="3" fillId="0" borderId="83" xfId="66" applyFont="1" applyFill="1" applyBorder="1" applyAlignment="1" applyProtection="1">
      <alignment horizontal="right"/>
      <protection hidden="1"/>
    </xf>
    <xf numFmtId="0" fontId="266" fillId="77" borderId="69" xfId="0" applyFont="1" applyFill="1" applyBorder="1" applyAlignment="1" applyProtection="1">
      <alignment horizontal="center"/>
      <protection hidden="1"/>
    </xf>
    <xf numFmtId="164" fontId="267" fillId="35" borderId="164" xfId="69" applyNumberFormat="1" applyFont="1" applyFill="1" applyBorder="1" applyAlignment="1" applyProtection="1">
      <alignment horizontal="left"/>
      <protection hidden="1"/>
    </xf>
    <xf numFmtId="164" fontId="267" fillId="35" borderId="162" xfId="69" applyNumberFormat="1" applyFont="1" applyFill="1" applyBorder="1" applyAlignment="1" applyProtection="1">
      <alignment horizontal="right"/>
      <protection hidden="1"/>
    </xf>
    <xf numFmtId="0" fontId="267" fillId="75" borderId="172" xfId="69" applyFont="1" applyFill="1" applyBorder="1" applyAlignment="1" applyProtection="1">
      <protection locked="0"/>
    </xf>
    <xf numFmtId="164" fontId="245" fillId="35" borderId="162" xfId="69" applyNumberFormat="1" applyFont="1" applyFill="1" applyBorder="1" applyAlignment="1" applyProtection="1">
      <alignment horizontal="right"/>
      <protection hidden="1"/>
    </xf>
    <xf numFmtId="164" fontId="245" fillId="35" borderId="164" xfId="69" applyNumberFormat="1" applyFont="1" applyFill="1" applyBorder="1" applyAlignment="1" applyProtection="1">
      <alignment horizontal="left"/>
      <protection hidden="1"/>
    </xf>
    <xf numFmtId="164" fontId="267" fillId="35" borderId="21" xfId="66" applyNumberFormat="1" applyFont="1" applyFill="1" applyBorder="1" applyAlignment="1" applyProtection="1">
      <protection hidden="1"/>
    </xf>
    <xf numFmtId="0" fontId="267" fillId="35" borderId="19" xfId="66" applyFont="1" applyFill="1" applyBorder="1" applyAlignment="1" applyProtection="1">
      <protection hidden="1"/>
    </xf>
    <xf numFmtId="0" fontId="267" fillId="0" borderId="162" xfId="69" applyFont="1" applyBorder="1" applyAlignment="1" applyProtection="1">
      <alignment horizontal="right"/>
      <protection hidden="1"/>
    </xf>
    <xf numFmtId="2" fontId="47" fillId="42" borderId="82" xfId="67" applyNumberFormat="1" applyFont="1" applyFill="1" applyBorder="1" applyAlignment="1" applyProtection="1">
      <alignment horizontal="center"/>
      <protection hidden="1"/>
    </xf>
    <xf numFmtId="0" fontId="86" fillId="35" borderId="0" xfId="76" applyFont="1" applyFill="1" applyAlignment="1" applyProtection="1">
      <protection hidden="1"/>
    </xf>
    <xf numFmtId="1" fontId="3" fillId="51" borderId="13" xfId="63" applyNumberFormat="1" applyFont="1" applyFill="1" applyBorder="1" applyProtection="1">
      <protection hidden="1"/>
    </xf>
    <xf numFmtId="1" fontId="3" fillId="51" borderId="16" xfId="63" applyNumberFormat="1" applyFont="1" applyFill="1" applyBorder="1" applyProtection="1">
      <protection hidden="1"/>
    </xf>
    <xf numFmtId="0" fontId="47" fillId="44" borderId="165" xfId="67" applyFont="1" applyFill="1" applyBorder="1" applyAlignment="1" applyProtection="1">
      <alignment horizontal="center"/>
      <protection locked="0"/>
    </xf>
    <xf numFmtId="0" fontId="117" fillId="35" borderId="0" xfId="86" applyFont="1" applyFill="1" applyAlignment="1" applyProtection="1">
      <alignment horizontal="center"/>
      <protection hidden="1"/>
    </xf>
    <xf numFmtId="0" fontId="117" fillId="51" borderId="0" xfId="86" applyFont="1" applyFill="1" applyAlignment="1" applyProtection="1">
      <alignment horizontal="center"/>
      <protection hidden="1"/>
    </xf>
    <xf numFmtId="0" fontId="12" fillId="35" borderId="0" xfId="86" applyFont="1" applyFill="1" applyAlignment="1" applyProtection="1">
      <alignment horizontal="center"/>
      <protection hidden="1"/>
    </xf>
    <xf numFmtId="2" fontId="3" fillId="35" borderId="0" xfId="76" applyNumberFormat="1" applyFont="1" applyFill="1" applyProtection="1">
      <protection hidden="1"/>
    </xf>
    <xf numFmtId="0" fontId="271" fillId="71" borderId="17" xfId="66" applyFont="1" applyFill="1" applyBorder="1" applyAlignment="1" applyProtection="1">
      <protection locked="0"/>
    </xf>
    <xf numFmtId="0" fontId="9" fillId="51" borderId="125" xfId="76" applyFont="1" applyFill="1" applyBorder="1" applyAlignment="1" applyProtection="1">
      <alignment horizontal="right"/>
      <protection hidden="1"/>
    </xf>
    <xf numFmtId="0" fontId="9" fillId="51" borderId="13" xfId="76" applyFont="1" applyFill="1" applyBorder="1" applyAlignment="1" applyProtection="1">
      <alignment horizontal="right"/>
      <protection hidden="1"/>
    </xf>
    <xf numFmtId="0" fontId="3" fillId="0" borderId="11" xfId="0" applyFont="1" applyBorder="1" applyProtection="1">
      <protection hidden="1"/>
    </xf>
    <xf numFmtId="164" fontId="3" fillId="0" borderId="17" xfId="0" applyNumberFormat="1" applyFont="1" applyBorder="1" applyAlignment="1" applyProtection="1">
      <alignment horizontal="center"/>
      <protection hidden="1"/>
    </xf>
    <xf numFmtId="0" fontId="5" fillId="35" borderId="0" xfId="86" applyFont="1" applyFill="1" applyProtection="1">
      <protection hidden="1"/>
    </xf>
    <xf numFmtId="0" fontId="8" fillId="35" borderId="0" xfId="86" applyFont="1" applyFill="1" applyBorder="1" applyProtection="1">
      <protection hidden="1"/>
    </xf>
    <xf numFmtId="0" fontId="11" fillId="35" borderId="51" xfId="76" applyFont="1" applyFill="1" applyBorder="1" applyAlignment="1" applyProtection="1">
      <alignment horizontal="left"/>
      <protection hidden="1"/>
    </xf>
    <xf numFmtId="2" fontId="3" fillId="35" borderId="15" xfId="76" applyNumberFormat="1" applyFont="1" applyFill="1" applyBorder="1" applyAlignment="1" applyProtection="1">
      <protection hidden="1"/>
    </xf>
    <xf numFmtId="0" fontId="3" fillId="35" borderId="165" xfId="69" applyFont="1" applyFill="1" applyBorder="1" applyAlignment="1" applyProtection="1">
      <alignment horizontal="center" vertical="center" wrapText="1"/>
      <protection locked="0"/>
    </xf>
    <xf numFmtId="0" fontId="20" fillId="75" borderId="96" xfId="69" applyFont="1" applyFill="1" applyBorder="1" applyAlignment="1" applyProtection="1">
      <alignment horizontal="centerContinuous"/>
      <protection hidden="1"/>
    </xf>
    <xf numFmtId="0" fontId="3" fillId="75" borderId="96" xfId="69" applyFont="1" applyFill="1" applyBorder="1" applyAlignment="1" applyProtection="1">
      <alignment horizontal="centerContinuous"/>
      <protection hidden="1"/>
    </xf>
    <xf numFmtId="0" fontId="3" fillId="75" borderId="167" xfId="69" applyFont="1" applyFill="1" applyBorder="1" applyProtection="1">
      <protection hidden="1"/>
    </xf>
    <xf numFmtId="0" fontId="3" fillId="75" borderId="16" xfId="69" applyFont="1" applyFill="1" applyBorder="1" applyProtection="1">
      <protection hidden="1"/>
    </xf>
    <xf numFmtId="0" fontId="3" fillId="75" borderId="0" xfId="69" applyFont="1" applyFill="1" applyBorder="1" applyProtection="1">
      <protection hidden="1"/>
    </xf>
    <xf numFmtId="0" fontId="11" fillId="75" borderId="96" xfId="69" applyFont="1" applyFill="1" applyBorder="1" applyProtection="1">
      <protection hidden="1"/>
    </xf>
    <xf numFmtId="0" fontId="11" fillId="75" borderId="175" xfId="69" applyFont="1" applyFill="1" applyBorder="1" applyProtection="1">
      <protection hidden="1"/>
    </xf>
    <xf numFmtId="0" fontId="3" fillId="71" borderId="96" xfId="69" applyFont="1" applyFill="1" applyBorder="1" applyAlignment="1" applyProtection="1">
      <alignment horizontal="centerContinuous"/>
      <protection hidden="1"/>
    </xf>
    <xf numFmtId="0" fontId="20" fillId="71" borderId="96" xfId="69" applyFont="1" applyFill="1" applyBorder="1" applyAlignment="1" applyProtection="1">
      <alignment horizontal="left"/>
      <protection hidden="1"/>
    </xf>
    <xf numFmtId="0" fontId="3" fillId="71" borderId="167" xfId="69" applyFont="1" applyFill="1" applyBorder="1" applyProtection="1">
      <protection hidden="1"/>
    </xf>
    <xf numFmtId="0" fontId="3" fillId="71" borderId="16" xfId="69" applyFont="1" applyFill="1" applyBorder="1" applyProtection="1">
      <protection hidden="1"/>
    </xf>
    <xf numFmtId="0" fontId="3" fillId="71" borderId="15" xfId="69" applyFont="1" applyFill="1" applyBorder="1" applyProtection="1">
      <protection hidden="1"/>
    </xf>
    <xf numFmtId="0" fontId="11" fillId="71" borderId="175" xfId="69" applyFont="1" applyFill="1" applyBorder="1" applyProtection="1">
      <protection hidden="1"/>
    </xf>
    <xf numFmtId="0" fontId="3" fillId="35" borderId="173" xfId="69" applyFont="1" applyFill="1" applyBorder="1" applyAlignment="1" applyProtection="1">
      <protection hidden="1"/>
    </xf>
    <xf numFmtId="0" fontId="3" fillId="35" borderId="167" xfId="69" applyFont="1" applyFill="1" applyBorder="1" applyAlignment="1" applyProtection="1">
      <protection hidden="1"/>
    </xf>
    <xf numFmtId="0" fontId="3" fillId="35" borderId="0" xfId="69" applyFont="1" applyFill="1" applyBorder="1" applyAlignment="1" applyProtection="1">
      <protection hidden="1"/>
    </xf>
    <xf numFmtId="0" fontId="3" fillId="35" borderId="96" xfId="69" applyFont="1" applyFill="1" applyBorder="1" applyAlignment="1" applyProtection="1">
      <protection hidden="1"/>
    </xf>
    <xf numFmtId="0" fontId="3" fillId="0" borderId="193" xfId="69" applyFont="1" applyBorder="1" applyAlignment="1" applyProtection="1">
      <alignment vertical="center"/>
      <protection locked="0"/>
    </xf>
    <xf numFmtId="0" fontId="3" fillId="35" borderId="193" xfId="69" applyFont="1" applyFill="1" applyBorder="1" applyAlignment="1" applyProtection="1">
      <alignment horizontal="left" vertical="center" wrapText="1"/>
      <protection locked="0"/>
    </xf>
    <xf numFmtId="0" fontId="3" fillId="0" borderId="193" xfId="0" applyFont="1" applyBorder="1" applyAlignment="1" applyProtection="1">
      <alignment horizontal="center" vertical="center"/>
      <protection locked="0"/>
    </xf>
    <xf numFmtId="0" fontId="15" fillId="0" borderId="193" xfId="69" applyFont="1" applyBorder="1" applyAlignment="1" applyProtection="1">
      <alignment horizontal="center" vertical="center"/>
      <protection locked="0"/>
    </xf>
    <xf numFmtId="0" fontId="3" fillId="35" borderId="167" xfId="0" applyFont="1" applyFill="1" applyBorder="1" applyAlignment="1" applyProtection="1">
      <protection hidden="1"/>
    </xf>
    <xf numFmtId="0" fontId="13" fillId="51" borderId="0" xfId="75" applyFont="1" applyFill="1" applyBorder="1" applyAlignment="1" applyProtection="1">
      <protection hidden="1"/>
    </xf>
    <xf numFmtId="0" fontId="144" fillId="0" borderId="0" xfId="69" applyNumberFormat="1" applyFont="1" applyFill="1" applyBorder="1" applyAlignment="1" applyProtection="1">
      <alignment vertical="center" wrapText="1"/>
      <protection hidden="1"/>
    </xf>
    <xf numFmtId="0" fontId="13" fillId="0" borderId="0" xfId="75" applyFont="1" applyFill="1" applyBorder="1" applyAlignment="1" applyProtection="1">
      <protection hidden="1"/>
    </xf>
    <xf numFmtId="49" fontId="11" fillId="35" borderId="193" xfId="69" applyNumberFormat="1" applyFont="1" applyFill="1" applyBorder="1" applyAlignment="1" applyProtection="1">
      <alignment horizontal="center"/>
      <protection locked="0"/>
    </xf>
    <xf numFmtId="0" fontId="271" fillId="0" borderId="163" xfId="69" applyFont="1" applyBorder="1" applyAlignment="1" applyProtection="1">
      <alignment horizontal="right"/>
      <protection hidden="1"/>
    </xf>
    <xf numFmtId="164" fontId="271" fillId="35" borderId="162" xfId="69" applyNumberFormat="1" applyFont="1" applyFill="1" applyBorder="1" applyAlignment="1" applyProtection="1">
      <alignment horizontal="right"/>
      <protection hidden="1"/>
    </xf>
    <xf numFmtId="0" fontId="245" fillId="0" borderId="163" xfId="69" applyFont="1" applyBorder="1" applyAlignment="1" applyProtection="1">
      <alignment horizontal="right"/>
      <protection hidden="1"/>
    </xf>
    <xf numFmtId="0" fontId="271" fillId="76" borderId="172" xfId="108" applyFont="1" applyFill="1" applyBorder="1" applyProtection="1">
      <protection locked="0"/>
    </xf>
    <xf numFmtId="164" fontId="271" fillId="35" borderId="164" xfId="69" applyNumberFormat="1" applyFont="1" applyFill="1" applyBorder="1" applyAlignment="1" applyProtection="1">
      <alignment horizontal="left"/>
      <protection hidden="1"/>
    </xf>
    <xf numFmtId="0" fontId="246" fillId="42" borderId="0" xfId="63" applyFont="1" applyFill="1" applyBorder="1" applyAlignment="1" applyProtection="1">
      <protection hidden="1"/>
    </xf>
    <xf numFmtId="0" fontId="1" fillId="0" borderId="0" xfId="69" applyBorder="1"/>
    <xf numFmtId="0" fontId="13" fillId="0" borderId="163" xfId="69" applyFont="1" applyBorder="1" applyAlignment="1" applyProtection="1">
      <protection hidden="1"/>
    </xf>
    <xf numFmtId="0" fontId="55" fillId="35" borderId="0" xfId="46" applyFont="1" applyFill="1" applyAlignment="1" applyProtection="1">
      <protection hidden="1"/>
    </xf>
    <xf numFmtId="0" fontId="7" fillId="42" borderId="0" xfId="0" applyFont="1" applyFill="1" applyAlignment="1" applyProtection="1">
      <alignment vertical="top"/>
      <protection hidden="1"/>
    </xf>
    <xf numFmtId="0" fontId="6" fillId="35" borderId="0" xfId="84" applyFont="1" applyFill="1" applyBorder="1" applyAlignment="1" applyProtection="1">
      <alignment wrapText="1"/>
      <protection hidden="1"/>
    </xf>
    <xf numFmtId="0" fontId="55" fillId="35" borderId="0" xfId="46" applyFont="1" applyFill="1" applyBorder="1" applyAlignment="1" applyProtection="1">
      <protection hidden="1"/>
    </xf>
    <xf numFmtId="0" fontId="55" fillId="35" borderId="0" xfId="46" applyFont="1" applyFill="1" applyBorder="1" applyAlignment="1" applyProtection="1">
      <alignment horizontal="right"/>
      <protection hidden="1"/>
    </xf>
    <xf numFmtId="0" fontId="14" fillId="0" borderId="0" xfId="69" applyFont="1" applyBorder="1" applyProtection="1">
      <protection hidden="1"/>
    </xf>
    <xf numFmtId="0" fontId="9" fillId="75" borderId="193" xfId="69" applyFont="1" applyFill="1" applyBorder="1" applyProtection="1">
      <protection hidden="1"/>
    </xf>
    <xf numFmtId="0" fontId="9" fillId="71" borderId="193" xfId="69" applyFont="1" applyFill="1" applyBorder="1" applyProtection="1">
      <protection hidden="1"/>
    </xf>
    <xf numFmtId="0" fontId="61" fillId="75" borderId="167" xfId="63" applyFont="1" applyFill="1" applyBorder="1" applyProtection="1">
      <protection hidden="1"/>
    </xf>
    <xf numFmtId="0" fontId="61" fillId="75" borderId="0" xfId="63" applyFont="1" applyFill="1" applyBorder="1" applyProtection="1">
      <protection hidden="1"/>
    </xf>
    <xf numFmtId="1" fontId="14" fillId="0" borderId="0" xfId="69" applyNumberFormat="1" applyFont="1" applyBorder="1" applyProtection="1">
      <protection hidden="1"/>
    </xf>
    <xf numFmtId="1" fontId="57" fillId="0" borderId="0" xfId="69" applyNumberFormat="1" applyFont="1" applyBorder="1" applyAlignment="1" applyProtection="1">
      <alignment horizontal="right"/>
      <protection hidden="1"/>
    </xf>
    <xf numFmtId="167" fontId="3" fillId="37" borderId="0" xfId="69" applyNumberFormat="1" applyFont="1" applyFill="1" applyBorder="1" applyProtection="1">
      <protection hidden="1"/>
    </xf>
    <xf numFmtId="167" fontId="3" fillId="0" borderId="0" xfId="0" applyNumberFormat="1" applyFont="1" applyBorder="1" applyProtection="1">
      <protection hidden="1"/>
    </xf>
    <xf numFmtId="49" fontId="33" fillId="35" borderId="0" xfId="66" applyNumberFormat="1" applyFont="1" applyFill="1" applyBorder="1" applyAlignment="1" applyProtection="1">
      <alignment vertical="center"/>
      <protection hidden="1"/>
    </xf>
    <xf numFmtId="49" fontId="11" fillId="35" borderId="0" xfId="66" applyNumberFormat="1" applyFont="1" applyFill="1" applyBorder="1" applyAlignment="1" applyProtection="1">
      <alignment vertical="center"/>
      <protection hidden="1"/>
    </xf>
    <xf numFmtId="165" fontId="3" fillId="0" borderId="0" xfId="66" applyNumberFormat="1" applyFont="1" applyBorder="1" applyProtection="1">
      <protection hidden="1"/>
    </xf>
    <xf numFmtId="2" fontId="9" fillId="0" borderId="0" xfId="69" applyNumberFormat="1" applyFont="1" applyFill="1" applyBorder="1" applyProtection="1">
      <protection hidden="1"/>
    </xf>
    <xf numFmtId="0" fontId="9" fillId="0" borderId="0" xfId="69" applyFont="1" applyFill="1" applyBorder="1" applyProtection="1">
      <protection hidden="1"/>
    </xf>
    <xf numFmtId="0" fontId="47" fillId="42" borderId="0" xfId="67" applyFont="1" applyFill="1" applyBorder="1" applyAlignment="1" applyProtection="1">
      <alignment wrapText="1"/>
      <protection hidden="1"/>
    </xf>
    <xf numFmtId="0" fontId="1" fillId="35" borderId="0" xfId="66" applyFill="1" applyBorder="1" applyProtection="1">
      <protection hidden="1"/>
    </xf>
    <xf numFmtId="0" fontId="85" fillId="42" borderId="0" xfId="63" applyFont="1" applyFill="1" applyBorder="1" applyProtection="1">
      <protection hidden="1"/>
    </xf>
    <xf numFmtId="0" fontId="1" fillId="35" borderId="0" xfId="69" applyFill="1" applyBorder="1" applyAlignment="1" applyProtection="1">
      <alignment horizontal="left"/>
      <protection hidden="1"/>
    </xf>
    <xf numFmtId="0" fontId="27" fillId="0" borderId="0" xfId="69" applyFont="1" applyFill="1" applyBorder="1" applyAlignment="1" applyProtection="1">
      <alignment horizontal="centerContinuous"/>
      <protection hidden="1"/>
    </xf>
    <xf numFmtId="0" fontId="0" fillId="0" borderId="0" xfId="0" applyFill="1" applyBorder="1" applyAlignment="1" applyProtection="1">
      <alignment horizontal="left"/>
      <protection hidden="1"/>
    </xf>
    <xf numFmtId="0" fontId="10" fillId="0" borderId="0" xfId="69" applyNumberFormat="1" applyFont="1" applyFill="1" applyBorder="1" applyAlignment="1" applyProtection="1">
      <alignment vertical="center" wrapText="1"/>
      <protection hidden="1"/>
    </xf>
    <xf numFmtId="0" fontId="9" fillId="0" borderId="0" xfId="66" applyFont="1" applyFill="1" applyBorder="1" applyAlignment="1" applyProtection="1">
      <alignment horizontal="right" vertical="top"/>
      <protection hidden="1"/>
    </xf>
    <xf numFmtId="1" fontId="6" fillId="0" borderId="0" xfId="69" applyNumberFormat="1" applyFont="1" applyBorder="1" applyAlignment="1" applyProtection="1">
      <alignment vertical="top" wrapText="1"/>
      <protection hidden="1"/>
    </xf>
    <xf numFmtId="0" fontId="31" fillId="0" borderId="0" xfId="69" applyFont="1" applyFill="1" applyBorder="1" applyProtection="1">
      <protection hidden="1"/>
    </xf>
    <xf numFmtId="0" fontId="3" fillId="0" borderId="0" xfId="0" applyFont="1" applyBorder="1" applyAlignment="1" applyProtection="1">
      <alignment vertical="top" wrapText="1"/>
      <protection hidden="1"/>
    </xf>
    <xf numFmtId="0" fontId="3" fillId="51" borderId="0" xfId="69" applyFont="1" applyFill="1" applyBorder="1" applyProtection="1">
      <protection hidden="1"/>
    </xf>
    <xf numFmtId="0" fontId="3" fillId="51" borderId="138" xfId="84" applyFont="1" applyFill="1" applyBorder="1" applyProtection="1">
      <protection hidden="1"/>
    </xf>
    <xf numFmtId="0" fontId="3" fillId="51" borderId="96" xfId="84" applyFont="1" applyFill="1" applyBorder="1" applyProtection="1">
      <protection hidden="1"/>
    </xf>
    <xf numFmtId="165" fontId="3" fillId="0" borderId="138" xfId="0" applyNumberFormat="1" applyFont="1" applyFill="1" applyBorder="1" applyProtection="1">
      <protection hidden="1"/>
    </xf>
    <xf numFmtId="165" fontId="3" fillId="0" borderId="96" xfId="0" applyNumberFormat="1" applyFont="1" applyFill="1" applyBorder="1" applyProtection="1">
      <protection hidden="1"/>
    </xf>
    <xf numFmtId="0" fontId="3" fillId="35" borderId="193" xfId="90" applyFont="1" applyFill="1" applyBorder="1" applyProtection="1">
      <protection locked="0"/>
    </xf>
    <xf numFmtId="0" fontId="3" fillId="0" borderId="193" xfId="69" applyFont="1" applyFill="1" applyBorder="1" applyAlignment="1" applyProtection="1">
      <alignment vertical="center"/>
      <protection locked="0"/>
    </xf>
    <xf numFmtId="0" fontId="3" fillId="0" borderId="193" xfId="0" applyFont="1" applyBorder="1" applyAlignment="1" applyProtection="1">
      <alignment vertical="center"/>
      <protection locked="0"/>
    </xf>
    <xf numFmtId="0" fontId="3" fillId="0" borderId="193" xfId="0" applyFont="1" applyBorder="1" applyProtection="1">
      <protection locked="0"/>
    </xf>
    <xf numFmtId="0" fontId="3" fillId="0" borderId="193" xfId="90" applyFont="1" applyBorder="1" applyProtection="1">
      <protection locked="0"/>
    </xf>
    <xf numFmtId="0" fontId="36" fillId="0" borderId="167" xfId="69" applyFont="1" applyFill="1" applyBorder="1" applyAlignment="1" applyProtection="1">
      <protection hidden="1"/>
    </xf>
    <xf numFmtId="0" fontId="47" fillId="0" borderId="0" xfId="0" applyFont="1" applyProtection="1">
      <protection hidden="1"/>
    </xf>
    <xf numFmtId="0" fontId="47" fillId="0" borderId="0" xfId="63" applyFont="1" applyProtection="1">
      <protection hidden="1"/>
    </xf>
    <xf numFmtId="0" fontId="47" fillId="0" borderId="15" xfId="63" applyFont="1" applyBorder="1" applyProtection="1">
      <protection hidden="1"/>
    </xf>
    <xf numFmtId="0" fontId="47" fillId="42" borderId="96" xfId="63" applyFont="1" applyFill="1" applyBorder="1" applyAlignment="1" applyProtection="1">
      <alignment horizontal="left" wrapText="1"/>
      <protection hidden="1"/>
    </xf>
    <xf numFmtId="0" fontId="47" fillId="0" borderId="0" xfId="63" applyFont="1" applyBorder="1" applyProtection="1">
      <protection hidden="1"/>
    </xf>
    <xf numFmtId="0" fontId="47" fillId="42" borderId="0" xfId="67" applyFont="1" applyFill="1" applyBorder="1" applyAlignment="1" applyProtection="1">
      <protection hidden="1"/>
    </xf>
    <xf numFmtId="0" fontId="47" fillId="42" borderId="0" xfId="0" applyFont="1" applyFill="1" applyBorder="1" applyAlignment="1" applyProtection="1">
      <protection hidden="1"/>
    </xf>
    <xf numFmtId="0" fontId="13" fillId="42" borderId="68" xfId="67" applyFont="1" applyFill="1" applyBorder="1" applyAlignment="1" applyProtection="1">
      <protection hidden="1"/>
    </xf>
    <xf numFmtId="0" fontId="0" fillId="0" borderId="0" xfId="0"/>
    <xf numFmtId="0" fontId="3" fillId="0" borderId="194" xfId="69" applyFont="1" applyFill="1" applyBorder="1" applyAlignment="1" applyProtection="1">
      <alignment horizontal="right"/>
      <protection hidden="1"/>
    </xf>
    <xf numFmtId="0" fontId="47" fillId="51" borderId="0" xfId="67" applyFont="1" applyFill="1" applyProtection="1">
      <protection hidden="1"/>
    </xf>
    <xf numFmtId="0" fontId="47" fillId="51" borderId="0" xfId="0" applyFont="1" applyFill="1" applyProtection="1">
      <protection hidden="1"/>
    </xf>
    <xf numFmtId="0" fontId="47" fillId="51" borderId="0" xfId="67" applyFont="1" applyFill="1" applyBorder="1" applyProtection="1">
      <protection hidden="1"/>
    </xf>
    <xf numFmtId="0" fontId="47" fillId="0" borderId="0" xfId="0" applyFont="1" applyFill="1" applyAlignment="1" applyProtection="1">
      <alignment horizontal="right"/>
      <protection hidden="1"/>
    </xf>
    <xf numFmtId="0" fontId="3" fillId="51" borderId="0" xfId="84" applyFill="1" applyBorder="1" applyProtection="1">
      <protection hidden="1"/>
    </xf>
    <xf numFmtId="2" fontId="5" fillId="0" borderId="193" xfId="69" applyNumberFormat="1" applyFont="1" applyFill="1" applyBorder="1" applyAlignment="1" applyProtection="1">
      <alignment horizontal="center"/>
      <protection hidden="1"/>
    </xf>
    <xf numFmtId="165" fontId="5" fillId="0" borderId="193" xfId="69" applyNumberFormat="1" applyFont="1" applyBorder="1" applyAlignment="1" applyProtection="1">
      <alignment horizontal="center"/>
      <protection hidden="1"/>
    </xf>
    <xf numFmtId="167" fontId="5" fillId="0" borderId="193" xfId="69" applyNumberFormat="1" applyFont="1" applyFill="1" applyBorder="1" applyAlignment="1" applyProtection="1">
      <alignment horizontal="center"/>
      <protection hidden="1"/>
    </xf>
    <xf numFmtId="0" fontId="5" fillId="37" borderId="193" xfId="69" applyNumberFormat="1" applyFont="1" applyFill="1" applyBorder="1" applyAlignment="1" applyProtection="1">
      <alignment horizontal="center"/>
      <protection locked="0"/>
    </xf>
    <xf numFmtId="0" fontId="3" fillId="0" borderId="0" xfId="108" applyFont="1" applyFill="1" applyProtection="1">
      <protection hidden="1"/>
    </xf>
    <xf numFmtId="0" fontId="60" fillId="35" borderId="162" xfId="108" applyFont="1" applyFill="1" applyBorder="1" applyAlignment="1" applyProtection="1">
      <alignment horizontal="center"/>
      <protection hidden="1"/>
    </xf>
    <xf numFmtId="0" fontId="3" fillId="42" borderId="196" xfId="108" applyFont="1" applyFill="1" applyBorder="1" applyAlignment="1" applyProtection="1">
      <protection hidden="1"/>
    </xf>
    <xf numFmtId="0" fontId="3" fillId="75" borderId="196" xfId="108" applyFont="1" applyFill="1" applyBorder="1" applyProtection="1">
      <protection locked="0"/>
    </xf>
    <xf numFmtId="0" fontId="3" fillId="51" borderId="197" xfId="108" applyFont="1" applyFill="1" applyBorder="1" applyAlignment="1" applyProtection="1">
      <alignment horizontal="center"/>
      <protection hidden="1"/>
    </xf>
    <xf numFmtId="0" fontId="3" fillId="75" borderId="198" xfId="108" applyFont="1" applyFill="1" applyBorder="1" applyAlignment="1" applyProtection="1">
      <alignment horizontal="left"/>
      <protection locked="0"/>
    </xf>
    <xf numFmtId="0" fontId="3" fillId="37" borderId="196" xfId="108" applyFont="1" applyFill="1" applyBorder="1" applyProtection="1">
      <protection locked="0"/>
    </xf>
    <xf numFmtId="0" fontId="3" fillId="37" borderId="198" xfId="108" applyFont="1" applyFill="1" applyBorder="1" applyAlignment="1" applyProtection="1">
      <alignment horizontal="left"/>
      <protection locked="0"/>
    </xf>
    <xf numFmtId="1" fontId="3" fillId="0" borderId="0" xfId="108" applyNumberFormat="1" applyFont="1" applyFill="1" applyAlignment="1" applyProtection="1">
      <alignment horizontal="left"/>
      <protection hidden="1"/>
    </xf>
    <xf numFmtId="0" fontId="3" fillId="0" borderId="0" xfId="108" applyFont="1" applyFill="1" applyAlignment="1" applyProtection="1">
      <alignment horizontal="left"/>
      <protection hidden="1"/>
    </xf>
    <xf numFmtId="0" fontId="40" fillId="42" borderId="167" xfId="108" applyFont="1" applyFill="1" applyBorder="1" applyAlignment="1" applyProtection="1">
      <protection hidden="1"/>
    </xf>
    <xf numFmtId="0" fontId="3" fillId="35" borderId="167" xfId="108" applyFont="1" applyFill="1" applyBorder="1" applyProtection="1">
      <protection hidden="1"/>
    </xf>
    <xf numFmtId="0" fontId="3" fillId="51" borderId="0" xfId="108" applyFont="1" applyFill="1" applyBorder="1" applyAlignment="1" applyProtection="1">
      <alignment horizontal="center"/>
      <protection hidden="1"/>
    </xf>
    <xf numFmtId="1" fontId="3" fillId="35" borderId="15" xfId="108" applyNumberFormat="1" applyFont="1" applyFill="1" applyBorder="1" applyAlignment="1" applyProtection="1">
      <alignment horizontal="left"/>
      <protection hidden="1"/>
    </xf>
    <xf numFmtId="0" fontId="40" fillId="42" borderId="175" xfId="108" applyFont="1" applyFill="1" applyBorder="1" applyAlignment="1" applyProtection="1">
      <protection hidden="1"/>
    </xf>
    <xf numFmtId="0" fontId="3" fillId="42" borderId="162" xfId="108" applyFont="1" applyFill="1" applyBorder="1" applyAlignment="1" applyProtection="1">
      <alignment horizontal="right"/>
      <protection hidden="1"/>
    </xf>
    <xf numFmtId="0" fontId="3" fillId="35" borderId="162" xfId="108" applyFont="1" applyFill="1" applyBorder="1" applyProtection="1">
      <protection hidden="1"/>
    </xf>
    <xf numFmtId="0" fontId="3" fillId="35" borderId="163" xfId="108" applyFont="1" applyFill="1" applyBorder="1" applyAlignment="1" applyProtection="1">
      <alignment horizontal="center"/>
      <protection hidden="1"/>
    </xf>
    <xf numFmtId="1" fontId="3" fillId="35" borderId="164" xfId="108" applyNumberFormat="1" applyFont="1" applyFill="1" applyBorder="1" applyAlignment="1" applyProtection="1">
      <alignment horizontal="left"/>
      <protection hidden="1"/>
    </xf>
    <xf numFmtId="0" fontId="40" fillId="51" borderId="197" xfId="108" applyFont="1" applyFill="1" applyBorder="1" applyAlignment="1" applyProtection="1">
      <protection hidden="1"/>
    </xf>
    <xf numFmtId="0" fontId="3" fillId="51" borderId="197" xfId="108" applyFont="1" applyFill="1" applyBorder="1" applyProtection="1">
      <protection hidden="1"/>
    </xf>
    <xf numFmtId="1" fontId="3" fillId="51" borderId="0" xfId="108" applyNumberFormat="1" applyFont="1" applyFill="1" applyAlignment="1" applyProtection="1">
      <alignment horizontal="left"/>
      <protection hidden="1"/>
    </xf>
    <xf numFmtId="0" fontId="3" fillId="51" borderId="0" xfId="108" applyFont="1" applyFill="1" applyAlignment="1" applyProtection="1">
      <alignment horizontal="left"/>
      <protection hidden="1"/>
    </xf>
    <xf numFmtId="0" fontId="3" fillId="51" borderId="0" xfId="108" applyFont="1" applyFill="1" applyProtection="1">
      <protection hidden="1"/>
    </xf>
    <xf numFmtId="0" fontId="168" fillId="51" borderId="0" xfId="108" applyFont="1" applyFill="1" applyProtection="1">
      <protection hidden="1"/>
    </xf>
    <xf numFmtId="164" fontId="3" fillId="51" borderId="0" xfId="69" applyNumberFormat="1" applyFont="1" applyFill="1" applyBorder="1" applyProtection="1">
      <protection hidden="1"/>
    </xf>
    <xf numFmtId="0" fontId="1" fillId="0" borderId="173" xfId="69" applyFill="1" applyBorder="1" applyProtection="1">
      <protection hidden="1"/>
    </xf>
    <xf numFmtId="0" fontId="3" fillId="0" borderId="138" xfId="69" applyFont="1" applyFill="1" applyBorder="1" applyProtection="1">
      <protection hidden="1"/>
    </xf>
    <xf numFmtId="0" fontId="10" fillId="0" borderId="138" xfId="69" applyFont="1" applyFill="1" applyBorder="1" applyAlignment="1" applyProtection="1">
      <alignment horizontal="center"/>
      <protection hidden="1"/>
    </xf>
    <xf numFmtId="0" fontId="10" fillId="0" borderId="168" xfId="69" applyFont="1" applyFill="1" applyBorder="1" applyAlignment="1" applyProtection="1">
      <alignment horizontal="center"/>
      <protection hidden="1"/>
    </xf>
    <xf numFmtId="0" fontId="1" fillId="0" borderId="175" xfId="69" applyFill="1" applyBorder="1" applyProtection="1">
      <protection hidden="1"/>
    </xf>
    <xf numFmtId="0" fontId="1" fillId="0" borderId="96" xfId="69" applyFont="1" applyFill="1" applyBorder="1" applyProtection="1">
      <protection hidden="1"/>
    </xf>
    <xf numFmtId="0" fontId="10" fillId="0" borderId="96" xfId="69" applyFont="1" applyFill="1" applyBorder="1" applyAlignment="1" applyProtection="1">
      <alignment horizontal="center"/>
      <protection hidden="1"/>
    </xf>
    <xf numFmtId="0" fontId="10" fillId="0" borderId="176" xfId="69" applyFont="1" applyFill="1" applyBorder="1" applyAlignment="1" applyProtection="1">
      <alignment horizontal="center"/>
      <protection hidden="1"/>
    </xf>
    <xf numFmtId="0" fontId="9" fillId="0" borderId="0" xfId="69" applyFont="1" applyFill="1" applyBorder="1" applyAlignment="1" applyProtection="1">
      <alignment horizontal="center"/>
      <protection hidden="1"/>
    </xf>
    <xf numFmtId="0" fontId="1" fillId="0" borderId="167" xfId="69" applyFill="1" applyBorder="1" applyProtection="1">
      <protection hidden="1"/>
    </xf>
    <xf numFmtId="0" fontId="175" fillId="0" borderId="0" xfId="69" applyFont="1" applyFill="1" applyBorder="1" applyProtection="1">
      <protection hidden="1"/>
    </xf>
    <xf numFmtId="0" fontId="14" fillId="0" borderId="0" xfId="69" applyFont="1" applyFill="1" applyBorder="1" applyAlignment="1" applyProtection="1">
      <alignment horizontal="right"/>
      <protection hidden="1"/>
    </xf>
    <xf numFmtId="0" fontId="1" fillId="0" borderId="0" xfId="69" applyFont="1" applyFill="1" applyProtection="1">
      <protection hidden="1"/>
    </xf>
    <xf numFmtId="0" fontId="3" fillId="0" borderId="0" xfId="66" applyFont="1" applyFill="1" applyAlignment="1" applyProtection="1">
      <alignment horizontal="center"/>
      <protection hidden="1"/>
    </xf>
    <xf numFmtId="0" fontId="3" fillId="51" borderId="0" xfId="66" applyFont="1" applyFill="1" applyBorder="1" applyProtection="1">
      <protection hidden="1"/>
    </xf>
    <xf numFmtId="2" fontId="9" fillId="51" borderId="0" xfId="69" applyNumberFormat="1" applyFont="1" applyFill="1" applyBorder="1" applyProtection="1">
      <protection hidden="1"/>
    </xf>
    <xf numFmtId="0" fontId="9" fillId="51" borderId="0" xfId="69" applyFont="1" applyFill="1" applyBorder="1" applyProtection="1">
      <protection hidden="1"/>
    </xf>
    <xf numFmtId="0" fontId="144" fillId="51" borderId="0" xfId="69" applyNumberFormat="1" applyFont="1" applyFill="1" applyBorder="1" applyAlignment="1" applyProtection="1">
      <alignment vertical="center" wrapText="1"/>
      <protection hidden="1"/>
    </xf>
    <xf numFmtId="0" fontId="2" fillId="35" borderId="0" xfId="46" applyFill="1" applyBorder="1" applyAlignment="1" applyProtection="1">
      <protection locked="0"/>
    </xf>
    <xf numFmtId="0" fontId="197" fillId="51" borderId="0" xfId="66" applyFont="1" applyFill="1" applyAlignment="1" applyProtection="1">
      <protection hidden="1"/>
    </xf>
    <xf numFmtId="2" fontId="47" fillId="51" borderId="0" xfId="67" applyNumberFormat="1" applyFont="1" applyFill="1" applyProtection="1">
      <protection hidden="1"/>
    </xf>
    <xf numFmtId="0" fontId="40" fillId="51" borderId="0" xfId="108" applyFont="1" applyFill="1" applyBorder="1" applyAlignment="1" applyProtection="1">
      <protection hidden="1"/>
    </xf>
    <xf numFmtId="0" fontId="3" fillId="51" borderId="0" xfId="108" applyFont="1" applyFill="1" applyBorder="1" applyProtection="1">
      <protection hidden="1"/>
    </xf>
    <xf numFmtId="0" fontId="1" fillId="51" borderId="0" xfId="66" applyFont="1" applyFill="1" applyBorder="1" applyAlignment="1" applyProtection="1">
      <alignment horizontal="left"/>
      <protection hidden="1"/>
    </xf>
    <xf numFmtId="0" fontId="17" fillId="35" borderId="167" xfId="69" applyFont="1" applyFill="1" applyBorder="1" applyAlignment="1" applyProtection="1">
      <alignment horizontal="right"/>
      <protection hidden="1"/>
    </xf>
    <xf numFmtId="0" fontId="1" fillId="51" borderId="167" xfId="66" applyFont="1" applyFill="1" applyBorder="1" applyAlignment="1" applyProtection="1">
      <alignment horizontal="left"/>
      <protection hidden="1"/>
    </xf>
    <xf numFmtId="1" fontId="4" fillId="51" borderId="0" xfId="69" applyNumberFormat="1" applyFont="1" applyFill="1" applyBorder="1" applyAlignment="1" applyProtection="1">
      <alignment horizontal="left"/>
      <protection hidden="1"/>
    </xf>
    <xf numFmtId="0" fontId="170" fillId="51" borderId="0" xfId="66" applyFont="1" applyFill="1" applyBorder="1" applyAlignment="1" applyProtection="1">
      <protection hidden="1"/>
    </xf>
    <xf numFmtId="0" fontId="273" fillId="51" borderId="0" xfId="66" applyFont="1" applyFill="1" applyBorder="1" applyAlignment="1" applyProtection="1">
      <alignment horizontal="left"/>
      <protection hidden="1"/>
    </xf>
    <xf numFmtId="1" fontId="274" fillId="51" borderId="0" xfId="69" applyNumberFormat="1" applyFont="1" applyFill="1" applyBorder="1" applyAlignment="1" applyProtection="1">
      <alignment horizontal="left"/>
      <protection hidden="1"/>
    </xf>
    <xf numFmtId="0" fontId="273" fillId="51" borderId="0" xfId="84" applyFont="1" applyFill="1" applyProtection="1">
      <protection hidden="1"/>
    </xf>
    <xf numFmtId="0" fontId="273" fillId="35" borderId="0" xfId="66" applyFont="1" applyFill="1" applyProtection="1">
      <protection hidden="1"/>
    </xf>
    <xf numFmtId="0" fontId="274" fillId="35" borderId="0" xfId="66" applyFont="1" applyFill="1" applyProtection="1">
      <protection hidden="1"/>
    </xf>
    <xf numFmtId="2" fontId="273" fillId="51" borderId="0" xfId="66" applyNumberFormat="1" applyFont="1" applyFill="1" applyBorder="1" applyAlignment="1" applyProtection="1">
      <protection hidden="1"/>
    </xf>
    <xf numFmtId="0" fontId="47" fillId="42" borderId="0" xfId="108" applyFill="1" applyAlignment="1" applyProtection="1">
      <protection hidden="1"/>
    </xf>
    <xf numFmtId="2" fontId="47" fillId="42" borderId="165" xfId="108" applyNumberFormat="1" applyFill="1" applyBorder="1" applyAlignment="1" applyProtection="1">
      <alignment horizontal="center"/>
      <protection hidden="1"/>
    </xf>
    <xf numFmtId="0" fontId="199" fillId="42" borderId="165" xfId="108" applyFont="1" applyFill="1" applyBorder="1" applyAlignment="1" applyProtection="1">
      <alignment horizontal="center"/>
      <protection hidden="1"/>
    </xf>
    <xf numFmtId="0" fontId="47" fillId="42" borderId="165" xfId="108" applyFill="1" applyBorder="1" applyAlignment="1" applyProtection="1">
      <alignment horizontal="center"/>
      <protection hidden="1"/>
    </xf>
    <xf numFmtId="1" fontId="47" fillId="42" borderId="165" xfId="108" applyNumberFormat="1" applyFill="1" applyBorder="1" applyAlignment="1" applyProtection="1">
      <alignment horizontal="center"/>
      <protection hidden="1"/>
    </xf>
    <xf numFmtId="0" fontId="47" fillId="44" borderId="165" xfId="108" applyFill="1" applyBorder="1" applyAlignment="1" applyProtection="1">
      <alignment horizontal="center"/>
      <protection locked="0"/>
    </xf>
    <xf numFmtId="0" fontId="7" fillId="51" borderId="0" xfId="75" applyFont="1" applyFill="1" applyBorder="1" applyAlignment="1" applyProtection="1">
      <protection hidden="1"/>
    </xf>
    <xf numFmtId="165" fontId="3" fillId="51" borderId="0" xfId="69" applyNumberFormat="1" applyFont="1" applyFill="1" applyBorder="1" applyAlignment="1" applyProtection="1">
      <alignment horizontal="center"/>
      <protection hidden="1"/>
    </xf>
    <xf numFmtId="0" fontId="3" fillId="51" borderId="0" xfId="91" applyFont="1" applyFill="1" applyBorder="1" applyAlignment="1" applyProtection="1">
      <alignment horizontal="right"/>
      <protection hidden="1"/>
    </xf>
    <xf numFmtId="0" fontId="3" fillId="0" borderId="167" xfId="84" applyFont="1" applyBorder="1" applyAlignment="1" applyProtection="1">
      <protection hidden="1"/>
    </xf>
    <xf numFmtId="0" fontId="1" fillId="0" borderId="167" xfId="69" applyBorder="1" applyAlignment="1" applyProtection="1">
      <protection hidden="1"/>
    </xf>
    <xf numFmtId="0" fontId="47" fillId="44" borderId="76" xfId="63" applyFont="1" applyFill="1" applyBorder="1" applyProtection="1">
      <protection locked="0"/>
    </xf>
    <xf numFmtId="0" fontId="47" fillId="44" borderId="202" xfId="63" applyFont="1" applyFill="1" applyBorder="1" applyProtection="1">
      <protection locked="0"/>
    </xf>
    <xf numFmtId="0" fontId="47" fillId="79" borderId="13" xfId="63" applyFont="1" applyFill="1" applyBorder="1" applyProtection="1">
      <protection locked="0"/>
    </xf>
    <xf numFmtId="0" fontId="47" fillId="0" borderId="0" xfId="0" applyFont="1" applyFill="1" applyBorder="1" applyAlignment="1" applyProtection="1">
      <alignment horizontal="right"/>
      <protection hidden="1"/>
    </xf>
    <xf numFmtId="0" fontId="176" fillId="42" borderId="0" xfId="0" applyFont="1" applyFill="1" applyProtection="1">
      <protection hidden="1"/>
    </xf>
    <xf numFmtId="2" fontId="3" fillId="0" borderId="15" xfId="69" applyNumberFormat="1" applyFont="1" applyFill="1" applyBorder="1" applyProtection="1">
      <protection hidden="1"/>
    </xf>
    <xf numFmtId="0" fontId="43" fillId="0" borderId="0" xfId="0" applyFont="1" applyFill="1" applyBorder="1" applyAlignment="1" applyProtection="1">
      <protection hidden="1"/>
    </xf>
    <xf numFmtId="164" fontId="13" fillId="0" borderId="0" xfId="69" applyNumberFormat="1" applyFont="1" applyFill="1" applyBorder="1" applyAlignment="1" applyProtection="1">
      <protection hidden="1"/>
    </xf>
    <xf numFmtId="0" fontId="3" fillId="0" borderId="0" xfId="69" applyFont="1" applyFill="1" applyBorder="1" applyAlignment="1" applyProtection="1">
      <alignment horizontal="right"/>
      <protection hidden="1"/>
    </xf>
    <xf numFmtId="0" fontId="3" fillId="0" borderId="0" xfId="0" applyFont="1" applyBorder="1" applyAlignment="1" applyProtection="1">
      <alignment horizontal="right" vertical="top"/>
      <protection hidden="1"/>
    </xf>
    <xf numFmtId="2" fontId="273" fillId="0" borderId="96" xfId="66" applyNumberFormat="1" applyFont="1" applyFill="1" applyBorder="1" applyAlignment="1" applyProtection="1">
      <protection hidden="1"/>
    </xf>
    <xf numFmtId="0" fontId="47" fillId="51" borderId="0" xfId="0" applyFont="1" applyFill="1" applyBorder="1" applyAlignment="1" applyProtection="1">
      <protection hidden="1"/>
    </xf>
    <xf numFmtId="0" fontId="47" fillId="42" borderId="167" xfId="63" applyFont="1" applyFill="1" applyBorder="1" applyProtection="1">
      <protection hidden="1"/>
    </xf>
    <xf numFmtId="0" fontId="3" fillId="0" borderId="200" xfId="0" applyFont="1" applyFill="1" applyBorder="1" applyAlignment="1" applyProtection="1">
      <protection hidden="1"/>
    </xf>
    <xf numFmtId="0" fontId="3" fillId="0" borderId="201" xfId="0" applyFont="1" applyFill="1" applyBorder="1" applyAlignment="1" applyProtection="1">
      <protection hidden="1"/>
    </xf>
    <xf numFmtId="0" fontId="47" fillId="0" borderId="167" xfId="0" applyFont="1" applyFill="1" applyBorder="1" applyAlignment="1" applyProtection="1">
      <alignment horizontal="right"/>
      <protection hidden="1"/>
    </xf>
    <xf numFmtId="0" fontId="5" fillId="0" borderId="203" xfId="69" applyFont="1" applyFill="1" applyBorder="1" applyAlignment="1" applyProtection="1">
      <protection hidden="1"/>
    </xf>
    <xf numFmtId="0" fontId="3" fillId="35" borderId="167" xfId="66" applyFont="1" applyFill="1" applyBorder="1" applyProtection="1">
      <protection hidden="1"/>
    </xf>
    <xf numFmtId="9" fontId="45" fillId="0" borderId="203" xfId="82" applyNumberFormat="1" applyFont="1" applyFill="1" applyBorder="1" applyAlignment="1" applyProtection="1">
      <protection hidden="1"/>
    </xf>
    <xf numFmtId="0" fontId="3" fillId="35" borderId="167" xfId="66" applyFont="1" applyFill="1" applyBorder="1" applyAlignment="1" applyProtection="1">
      <protection hidden="1"/>
    </xf>
    <xf numFmtId="0" fontId="3" fillId="51" borderId="167" xfId="66" applyFont="1" applyFill="1" applyBorder="1" applyProtection="1">
      <protection hidden="1"/>
    </xf>
    <xf numFmtId="0" fontId="173" fillId="51" borderId="197" xfId="0" applyFont="1" applyFill="1" applyBorder="1" applyAlignment="1" applyProtection="1">
      <alignment readingOrder="1"/>
      <protection hidden="1"/>
    </xf>
    <xf numFmtId="0" fontId="52" fillId="51" borderId="0" xfId="46" applyFont="1" applyFill="1" applyBorder="1" applyAlignment="1" applyProtection="1">
      <protection hidden="1"/>
    </xf>
    <xf numFmtId="2" fontId="3" fillId="35" borderId="17" xfId="73" applyNumberFormat="1" applyFont="1" applyFill="1" applyBorder="1" applyAlignment="1" applyProtection="1">
      <alignment horizontal="center"/>
      <protection hidden="1"/>
    </xf>
    <xf numFmtId="0" fontId="3" fillId="0" borderId="17" xfId="0" applyFont="1" applyBorder="1" applyAlignment="1" applyProtection="1">
      <alignment horizontal="center"/>
      <protection hidden="1"/>
    </xf>
    <xf numFmtId="0" fontId="47" fillId="35" borderId="0" xfId="67" applyFont="1" applyFill="1" applyAlignment="1" applyProtection="1">
      <protection hidden="1"/>
    </xf>
    <xf numFmtId="0" fontId="85" fillId="51" borderId="167" xfId="0" applyFont="1" applyFill="1" applyBorder="1" applyProtection="1">
      <protection hidden="1"/>
    </xf>
    <xf numFmtId="0" fontId="85" fillId="0" borderId="0" xfId="0" applyFont="1" applyBorder="1" applyProtection="1">
      <protection hidden="1"/>
    </xf>
    <xf numFmtId="0" fontId="85" fillId="0" borderId="203" xfId="0" applyFont="1" applyBorder="1" applyProtection="1">
      <protection hidden="1"/>
    </xf>
    <xf numFmtId="0" fontId="85" fillId="51" borderId="175" xfId="0" applyFont="1" applyFill="1" applyBorder="1" applyProtection="1">
      <protection hidden="1"/>
    </xf>
    <xf numFmtId="0" fontId="85" fillId="0" borderId="96" xfId="0" applyFont="1" applyBorder="1" applyProtection="1">
      <protection hidden="1"/>
    </xf>
    <xf numFmtId="0" fontId="85" fillId="0" borderId="176" xfId="0" applyFont="1" applyBorder="1" applyProtection="1">
      <protection hidden="1"/>
    </xf>
    <xf numFmtId="2" fontId="3" fillId="71" borderId="60" xfId="69" applyNumberFormat="1" applyFont="1" applyFill="1" applyBorder="1" applyAlignment="1" applyProtection="1">
      <alignment horizontal="right"/>
      <protection locked="0"/>
    </xf>
    <xf numFmtId="1" fontId="47" fillId="71" borderId="205" xfId="67" applyNumberFormat="1" applyFont="1" applyFill="1" applyBorder="1" applyProtection="1">
      <protection locked="0"/>
    </xf>
    <xf numFmtId="2" fontId="3" fillId="0" borderId="205" xfId="0" applyNumberFormat="1" applyFont="1" applyBorder="1" applyProtection="1">
      <protection hidden="1"/>
    </xf>
    <xf numFmtId="0" fontId="11" fillId="71" borderId="206" xfId="67" applyFont="1" applyFill="1" applyBorder="1" applyAlignment="1" applyProtection="1">
      <alignment horizontal="right"/>
      <protection locked="0"/>
    </xf>
    <xf numFmtId="0" fontId="3" fillId="0" borderId="208" xfId="0" applyFont="1" applyFill="1" applyBorder="1" applyAlignment="1" applyProtection="1">
      <protection hidden="1"/>
    </xf>
    <xf numFmtId="0" fontId="85" fillId="0" borderId="207" xfId="0" applyFont="1" applyBorder="1" applyProtection="1">
      <protection hidden="1"/>
    </xf>
    <xf numFmtId="164" fontId="13" fillId="0" borderId="203" xfId="69" applyNumberFormat="1" applyFont="1" applyBorder="1" applyAlignment="1" applyProtection="1">
      <protection hidden="1"/>
    </xf>
    <xf numFmtId="164" fontId="43" fillId="0" borderId="203" xfId="69" applyNumberFormat="1" applyFont="1" applyFill="1" applyBorder="1" applyAlignment="1" applyProtection="1">
      <protection hidden="1"/>
    </xf>
    <xf numFmtId="164" fontId="13" fillId="0" borderId="203" xfId="69" applyNumberFormat="1" applyFont="1" applyFill="1" applyBorder="1" applyAlignment="1" applyProtection="1">
      <protection hidden="1"/>
    </xf>
    <xf numFmtId="0" fontId="48" fillId="0" borderId="203" xfId="69" applyFont="1" applyFill="1" applyBorder="1" applyAlignment="1" applyProtection="1">
      <alignment horizontal="right"/>
      <protection hidden="1"/>
    </xf>
    <xf numFmtId="9" fontId="48" fillId="0" borderId="203" xfId="69" applyNumberFormat="1" applyFont="1" applyFill="1" applyBorder="1" applyAlignment="1" applyProtection="1">
      <protection hidden="1"/>
    </xf>
    <xf numFmtId="2" fontId="3" fillId="0" borderId="52" xfId="0" applyNumberFormat="1" applyFont="1" applyBorder="1" applyProtection="1">
      <protection hidden="1"/>
    </xf>
    <xf numFmtId="0" fontId="1" fillId="0" borderId="203" xfId="69" applyBorder="1" applyAlignment="1" applyProtection="1">
      <protection hidden="1"/>
    </xf>
    <xf numFmtId="1" fontId="47" fillId="71" borderId="60" xfId="67" applyNumberFormat="1" applyFont="1" applyFill="1" applyBorder="1" applyProtection="1">
      <protection locked="0"/>
    </xf>
    <xf numFmtId="2" fontId="3" fillId="0" borderId="60" xfId="0" applyNumberFormat="1" applyFont="1" applyBorder="1" applyProtection="1">
      <protection hidden="1"/>
    </xf>
    <xf numFmtId="0" fontId="3" fillId="37" borderId="60" xfId="66" applyFont="1" applyFill="1" applyBorder="1" applyAlignment="1" applyProtection="1">
      <protection locked="0"/>
    </xf>
    <xf numFmtId="0" fontId="11" fillId="37" borderId="60" xfId="84" applyFont="1" applyFill="1" applyBorder="1" applyAlignment="1" applyProtection="1">
      <alignment horizontal="right"/>
      <protection locked="0"/>
    </xf>
    <xf numFmtId="0" fontId="5" fillId="37" borderId="208" xfId="0" applyFont="1" applyFill="1" applyBorder="1" applyAlignment="1" applyProtection="1">
      <protection locked="0"/>
    </xf>
    <xf numFmtId="0" fontId="5" fillId="37" borderId="52" xfId="0" applyFont="1" applyFill="1" applyBorder="1" applyAlignment="1" applyProtection="1">
      <protection locked="0"/>
    </xf>
    <xf numFmtId="0" fontId="6" fillId="0" borderId="0" xfId="0" applyFont="1" applyBorder="1" applyAlignment="1" applyProtection="1">
      <alignment horizontal="center"/>
      <protection hidden="1"/>
    </xf>
    <xf numFmtId="0" fontId="184" fillId="0" borderId="164" xfId="67" applyFont="1" applyBorder="1" applyAlignment="1" applyProtection="1">
      <alignment horizontal="right"/>
      <protection hidden="1"/>
    </xf>
    <xf numFmtId="0" fontId="260" fillId="51" borderId="0" xfId="86" applyFont="1" applyFill="1" applyAlignment="1" applyProtection="1">
      <alignment vertical="center" wrapText="1"/>
      <protection hidden="1"/>
    </xf>
    <xf numFmtId="2" fontId="171" fillId="35" borderId="0" xfId="0" applyNumberFormat="1" applyFont="1" applyFill="1" applyAlignment="1" applyProtection="1">
      <protection hidden="1"/>
    </xf>
    <xf numFmtId="0" fontId="11" fillId="51" borderId="0" xfId="76" applyFont="1" applyFill="1" applyAlignment="1" applyProtection="1">
      <alignment horizontal="right"/>
      <protection hidden="1"/>
    </xf>
    <xf numFmtId="1" fontId="11" fillId="51" borderId="0" xfId="76" applyNumberFormat="1" applyFont="1" applyFill="1" applyProtection="1">
      <protection hidden="1"/>
    </xf>
    <xf numFmtId="1" fontId="11" fillId="51" borderId="0" xfId="70" applyNumberFormat="1" applyFont="1" applyFill="1" applyBorder="1" applyProtection="1">
      <protection hidden="1"/>
    </xf>
    <xf numFmtId="0" fontId="11" fillId="51" borderId="0" xfId="76" applyFont="1" applyFill="1" applyBorder="1" applyProtection="1">
      <protection hidden="1"/>
    </xf>
    <xf numFmtId="0" fontId="47" fillId="51" borderId="0" xfId="67" applyFont="1" applyFill="1" applyBorder="1" applyAlignment="1" applyProtection="1">
      <alignment vertical="top"/>
      <protection hidden="1"/>
    </xf>
    <xf numFmtId="0" fontId="8" fillId="51" borderId="0" xfId="86" applyFont="1" applyFill="1" applyProtection="1">
      <protection hidden="1"/>
    </xf>
    <xf numFmtId="0" fontId="8" fillId="51" borderId="0" xfId="86" applyFont="1" applyFill="1" applyAlignment="1" applyProtection="1">
      <alignment horizontal="right"/>
      <protection hidden="1"/>
    </xf>
    <xf numFmtId="164" fontId="8" fillId="51" borderId="0" xfId="86" applyNumberFormat="1" applyFont="1" applyFill="1" applyProtection="1">
      <protection hidden="1"/>
    </xf>
    <xf numFmtId="0" fontId="117" fillId="51" borderId="0" xfId="76" applyFont="1" applyFill="1" applyAlignment="1" applyProtection="1">
      <alignment horizontal="right"/>
      <protection hidden="1"/>
    </xf>
    <xf numFmtId="0" fontId="117" fillId="51" borderId="0" xfId="76" applyFont="1" applyFill="1" applyProtection="1">
      <protection hidden="1"/>
    </xf>
    <xf numFmtId="1" fontId="117" fillId="51" borderId="0" xfId="76" applyNumberFormat="1" applyFont="1" applyFill="1" applyProtection="1">
      <protection hidden="1"/>
    </xf>
    <xf numFmtId="1" fontId="117" fillId="51" borderId="0" xfId="70" applyNumberFormat="1" applyFont="1" applyFill="1" applyBorder="1" applyProtection="1">
      <protection hidden="1"/>
    </xf>
    <xf numFmtId="0" fontId="168" fillId="35" borderId="175" xfId="0" applyFont="1" applyFill="1" applyBorder="1" applyProtection="1">
      <protection hidden="1"/>
    </xf>
    <xf numFmtId="0" fontId="5" fillId="0" borderId="0" xfId="69" applyFont="1" applyFill="1" applyBorder="1" applyProtection="1">
      <protection hidden="1"/>
    </xf>
    <xf numFmtId="0" fontId="3" fillId="35" borderId="0" xfId="73" applyFont="1" applyFill="1" applyAlignment="1" applyProtection="1">
      <alignment horizontal="left"/>
      <protection hidden="1"/>
    </xf>
    <xf numFmtId="0" fontId="5" fillId="35" borderId="17" xfId="73" applyFont="1" applyFill="1" applyBorder="1" applyAlignment="1" applyProtection="1">
      <alignment horizontal="center"/>
      <protection hidden="1"/>
    </xf>
    <xf numFmtId="1" fontId="3" fillId="0" borderId="0" xfId="69" applyNumberFormat="1" applyFont="1" applyAlignment="1" applyProtection="1">
      <alignment horizontal="center" vertical="top" wrapText="1"/>
      <protection hidden="1"/>
    </xf>
    <xf numFmtId="0" fontId="48" fillId="35" borderId="0" xfId="0" applyFont="1" applyFill="1" applyAlignment="1" applyProtection="1">
      <protection hidden="1"/>
    </xf>
    <xf numFmtId="0" fontId="233" fillId="35" borderId="0" xfId="69" applyFont="1" applyFill="1" applyBorder="1" applyAlignment="1" applyProtection="1">
      <alignment wrapText="1"/>
      <protection hidden="1"/>
    </xf>
    <xf numFmtId="165" fontId="3" fillId="0" borderId="17" xfId="86" applyNumberFormat="1" applyFont="1" applyBorder="1" applyAlignment="1" applyProtection="1">
      <alignment horizontal="center"/>
      <protection hidden="1"/>
    </xf>
    <xf numFmtId="0" fontId="3" fillId="37" borderId="124" xfId="66" applyFont="1" applyFill="1" applyBorder="1" applyAlignment="1" applyProtection="1">
      <protection hidden="1"/>
    </xf>
    <xf numFmtId="0" fontId="3" fillId="51" borderId="167" xfId="0" applyFont="1" applyFill="1" applyBorder="1" applyAlignment="1" applyProtection="1">
      <alignment vertical="top"/>
      <protection hidden="1"/>
    </xf>
    <xf numFmtId="0" fontId="3" fillId="51" borderId="0" xfId="0" applyFont="1" applyFill="1" applyBorder="1" applyAlignment="1" applyProtection="1">
      <alignment vertical="top"/>
      <protection hidden="1"/>
    </xf>
    <xf numFmtId="49" fontId="33" fillId="0" borderId="84" xfId="66" applyNumberFormat="1" applyFont="1" applyFill="1" applyBorder="1" applyAlignment="1" applyProtection="1">
      <alignment horizontal="right"/>
      <protection hidden="1"/>
    </xf>
    <xf numFmtId="49" fontId="33" fillId="0" borderId="85" xfId="66" applyNumberFormat="1" applyFont="1" applyFill="1" applyBorder="1" applyAlignment="1" applyProtection="1">
      <alignment horizontal="right"/>
      <protection hidden="1"/>
    </xf>
    <xf numFmtId="165" fontId="3" fillId="0" borderId="52" xfId="69" applyNumberFormat="1" applyFont="1" applyBorder="1" applyProtection="1">
      <protection hidden="1"/>
    </xf>
    <xf numFmtId="0" fontId="3" fillId="0" borderId="52" xfId="84" applyBorder="1" applyProtection="1">
      <protection hidden="1"/>
    </xf>
    <xf numFmtId="0" fontId="3" fillId="0" borderId="203" xfId="84" applyBorder="1" applyProtection="1">
      <protection hidden="1"/>
    </xf>
    <xf numFmtId="165" fontId="3" fillId="0" borderId="60" xfId="69" applyNumberFormat="1" applyFont="1" applyBorder="1" applyProtection="1">
      <protection hidden="1"/>
    </xf>
    <xf numFmtId="0" fontId="1" fillId="0" borderId="203" xfId="69" applyBorder="1" applyProtection="1">
      <protection hidden="1"/>
    </xf>
    <xf numFmtId="0" fontId="85" fillId="0" borderId="0" xfId="107" applyFont="1" applyProtection="1">
      <protection hidden="1"/>
    </xf>
    <xf numFmtId="0" fontId="146" fillId="51" borderId="0" xfId="107" applyFont="1" applyFill="1" applyProtection="1">
      <protection hidden="1"/>
    </xf>
    <xf numFmtId="0" fontId="3" fillId="0" borderId="0" xfId="76" applyFont="1" applyFill="1" applyAlignment="1" applyProtection="1">
      <alignment horizontal="right"/>
      <protection hidden="1"/>
    </xf>
    <xf numFmtId="0" fontId="184" fillId="0" borderId="0" xfId="76" applyFont="1" applyFill="1" applyAlignment="1" applyProtection="1">
      <alignment horizontal="center"/>
      <protection hidden="1"/>
    </xf>
    <xf numFmtId="0" fontId="11" fillId="0" borderId="0" xfId="76" applyFont="1" applyFill="1" applyAlignment="1" applyProtection="1">
      <alignment horizontal="center"/>
      <protection hidden="1"/>
    </xf>
    <xf numFmtId="0" fontId="184" fillId="0" borderId="0" xfId="76" applyFont="1" applyAlignment="1" applyProtection="1">
      <alignment horizontal="right"/>
      <protection hidden="1"/>
    </xf>
    <xf numFmtId="0" fontId="3" fillId="38" borderId="0" xfId="86" applyFont="1" applyFill="1" applyProtection="1">
      <protection hidden="1"/>
    </xf>
    <xf numFmtId="0" fontId="184" fillId="0" borderId="0" xfId="76" applyFont="1" applyFill="1" applyProtection="1">
      <protection hidden="1"/>
    </xf>
    <xf numFmtId="0" fontId="3" fillId="0" borderId="13" xfId="86" applyFont="1" applyBorder="1" applyAlignment="1" applyProtection="1">
      <protection hidden="1"/>
    </xf>
    <xf numFmtId="0" fontId="3" fillId="0" borderId="0" xfId="86" applyFont="1" applyBorder="1" applyAlignment="1" applyProtection="1">
      <protection hidden="1"/>
    </xf>
    <xf numFmtId="0" fontId="184" fillId="0" borderId="0" xfId="76" applyFont="1" applyFill="1" applyAlignment="1" applyProtection="1">
      <alignment horizontal="right"/>
      <protection hidden="1"/>
    </xf>
    <xf numFmtId="0" fontId="184" fillId="0" borderId="0" xfId="86" applyFont="1" applyAlignment="1" applyProtection="1">
      <alignment horizontal="right"/>
      <protection hidden="1"/>
    </xf>
    <xf numFmtId="0" fontId="97" fillId="0" borderId="0" xfId="76" applyFont="1" applyProtection="1">
      <protection hidden="1"/>
    </xf>
    <xf numFmtId="0" fontId="3" fillId="0" borderId="0" xfId="86" applyFont="1" applyFill="1" applyAlignment="1" applyProtection="1">
      <alignment horizontal="left"/>
      <protection hidden="1"/>
    </xf>
    <xf numFmtId="0" fontId="3" fillId="0" borderId="0" xfId="76" applyFont="1" applyAlignment="1" applyProtection="1">
      <alignment horizontal="right"/>
      <protection hidden="1"/>
    </xf>
    <xf numFmtId="0" fontId="11" fillId="0" borderId="0" xfId="86" applyFont="1" applyProtection="1">
      <protection hidden="1"/>
    </xf>
    <xf numFmtId="164" fontId="3" fillId="0" borderId="0" xfId="86" applyNumberFormat="1" applyFont="1" applyProtection="1">
      <protection hidden="1"/>
    </xf>
    <xf numFmtId="0" fontId="3" fillId="0" borderId="0" xfId="76" applyFont="1" applyAlignment="1" applyProtection="1">
      <protection hidden="1"/>
    </xf>
    <xf numFmtId="0" fontId="3" fillId="0" borderId="0" xfId="76" applyFont="1" applyFill="1" applyAlignment="1" applyProtection="1">
      <protection hidden="1"/>
    </xf>
    <xf numFmtId="0" fontId="11" fillId="0" borderId="0" xfId="76" applyFont="1" applyFill="1" applyBorder="1" applyAlignment="1" applyProtection="1">
      <protection hidden="1"/>
    </xf>
    <xf numFmtId="0" fontId="11" fillId="0" borderId="0" xfId="86" applyFont="1" applyAlignment="1" applyProtection="1">
      <protection hidden="1"/>
    </xf>
    <xf numFmtId="164" fontId="3" fillId="0" borderId="0" xfId="86" applyNumberFormat="1" applyFont="1" applyAlignment="1" applyProtection="1">
      <protection hidden="1"/>
    </xf>
    <xf numFmtId="0" fontId="57" fillId="0" borderId="0" xfId="76" applyFont="1" applyAlignment="1" applyProtection="1">
      <protection hidden="1"/>
    </xf>
    <xf numFmtId="2" fontId="66" fillId="0" borderId="0" xfId="76" applyNumberFormat="1" applyFont="1" applyProtection="1">
      <protection hidden="1"/>
    </xf>
    <xf numFmtId="0" fontId="3" fillId="0" borderId="0" xfId="86" applyFont="1" applyFill="1" applyAlignment="1" applyProtection="1">
      <protection hidden="1"/>
    </xf>
    <xf numFmtId="164" fontId="3" fillId="0" borderId="0" xfId="76" applyNumberFormat="1" applyFont="1" applyFill="1" applyAlignment="1" applyProtection="1">
      <protection hidden="1"/>
    </xf>
    <xf numFmtId="164" fontId="3" fillId="0" borderId="0" xfId="76" applyNumberFormat="1" applyFont="1" applyFill="1" applyProtection="1">
      <protection hidden="1"/>
    </xf>
    <xf numFmtId="0" fontId="16" fillId="0" borderId="0" xfId="86" applyFont="1" applyFill="1" applyBorder="1" applyAlignment="1" applyProtection="1">
      <alignment horizontal="center"/>
      <protection hidden="1"/>
    </xf>
    <xf numFmtId="0" fontId="3" fillId="0" borderId="0" xfId="86" applyFont="1" applyFill="1" applyBorder="1" applyAlignment="1" applyProtection="1">
      <alignment horizontal="center"/>
      <protection hidden="1"/>
    </xf>
    <xf numFmtId="0" fontId="16" fillId="0" borderId="0" xfId="86" applyFont="1" applyFill="1" applyBorder="1" applyAlignment="1" applyProtection="1">
      <alignment horizontal="left"/>
      <protection hidden="1"/>
    </xf>
    <xf numFmtId="0" fontId="4" fillId="0" borderId="0" xfId="76" applyFill="1" applyProtection="1">
      <protection hidden="1"/>
    </xf>
    <xf numFmtId="0" fontId="4" fillId="0" borderId="0" xfId="76" applyProtection="1">
      <protection hidden="1"/>
    </xf>
    <xf numFmtId="0" fontId="8" fillId="0" borderId="0" xfId="76" applyFont="1" applyFill="1" applyProtection="1">
      <protection hidden="1"/>
    </xf>
    <xf numFmtId="0" fontId="5" fillId="0" borderId="0" xfId="86" applyFont="1" applyProtection="1">
      <protection hidden="1"/>
    </xf>
    <xf numFmtId="0" fontId="5" fillId="0" borderId="0" xfId="0" applyFont="1" applyProtection="1">
      <protection hidden="1"/>
    </xf>
    <xf numFmtId="0" fontId="5" fillId="38" borderId="0" xfId="0" applyFont="1" applyFill="1" applyProtection="1">
      <protection hidden="1"/>
    </xf>
    <xf numFmtId="1" fontId="5" fillId="0" borderId="0" xfId="0" applyNumberFormat="1" applyFont="1" applyProtection="1">
      <protection hidden="1"/>
    </xf>
    <xf numFmtId="170" fontId="5" fillId="0" borderId="0" xfId="0" applyNumberFormat="1" applyFont="1" applyProtection="1">
      <protection hidden="1"/>
    </xf>
    <xf numFmtId="2" fontId="5" fillId="0" borderId="0" xfId="0" applyNumberFormat="1" applyFont="1" applyProtection="1">
      <protection hidden="1"/>
    </xf>
    <xf numFmtId="165" fontId="5" fillId="0" borderId="0" xfId="0" applyNumberFormat="1" applyFont="1" applyProtection="1">
      <protection hidden="1"/>
    </xf>
    <xf numFmtId="165" fontId="12" fillId="0" borderId="0" xfId="0" applyNumberFormat="1" applyFont="1" applyProtection="1">
      <protection hidden="1"/>
    </xf>
    <xf numFmtId="165" fontId="0" fillId="0" borderId="0" xfId="0" applyNumberFormat="1" applyProtection="1">
      <protection hidden="1"/>
    </xf>
    <xf numFmtId="2" fontId="4" fillId="0" borderId="0" xfId="76" applyNumberFormat="1" applyFont="1" applyFill="1" applyProtection="1">
      <protection hidden="1"/>
    </xf>
    <xf numFmtId="0" fontId="0" fillId="35" borderId="0" xfId="0" applyFill="1" applyAlignment="1" applyProtection="1">
      <alignment horizontal="left"/>
      <protection hidden="1"/>
    </xf>
    <xf numFmtId="166" fontId="12" fillId="0" borderId="0" xfId="65" applyNumberFormat="1" applyFont="1" applyFill="1" applyBorder="1" applyAlignment="1" applyProtection="1">
      <alignment horizontal="center" wrapText="1"/>
      <protection hidden="1"/>
    </xf>
    <xf numFmtId="167" fontId="5" fillId="0" borderId="0" xfId="0" applyNumberFormat="1" applyFont="1" applyProtection="1">
      <protection hidden="1"/>
    </xf>
    <xf numFmtId="0" fontId="3" fillId="0" borderId="11" xfId="0" applyFont="1" applyBorder="1" applyAlignment="1" applyProtection="1">
      <alignment horizontal="center"/>
      <protection hidden="1"/>
    </xf>
    <xf numFmtId="0" fontId="11" fillId="51" borderId="0" xfId="0" applyFont="1" applyFill="1" applyBorder="1" applyAlignment="1" applyProtection="1">
      <alignment vertical="top" wrapText="1"/>
      <protection hidden="1"/>
    </xf>
    <xf numFmtId="0" fontId="8" fillId="0" borderId="0" xfId="76" applyFont="1" applyFill="1" applyBorder="1" applyProtection="1">
      <protection hidden="1"/>
    </xf>
    <xf numFmtId="0" fontId="4" fillId="0" borderId="0" xfId="76" applyFill="1" applyBorder="1" applyProtection="1">
      <protection hidden="1"/>
    </xf>
    <xf numFmtId="0" fontId="47" fillId="74" borderId="36" xfId="67" applyFont="1" applyFill="1" applyBorder="1" applyAlignment="1" applyProtection="1">
      <alignment horizontal="center"/>
      <protection locked="0"/>
    </xf>
    <xf numFmtId="0" fontId="3" fillId="51" borderId="0" xfId="0" applyFont="1" applyFill="1" applyBorder="1" applyAlignment="1" applyProtection="1">
      <alignment vertical="center"/>
      <protection hidden="1"/>
    </xf>
    <xf numFmtId="0" fontId="47" fillId="51" borderId="0" xfId="85" applyFont="1" applyFill="1" applyAlignment="1" applyProtection="1">
      <alignment horizontal="left" vertical="center"/>
      <protection hidden="1"/>
    </xf>
    <xf numFmtId="0" fontId="162" fillId="51" borderId="0" xfId="0" applyFont="1" applyFill="1" applyAlignment="1" applyProtection="1">
      <alignment vertical="center"/>
      <protection hidden="1"/>
    </xf>
    <xf numFmtId="0" fontId="0" fillId="51" borderId="0" xfId="0" applyFill="1" applyProtection="1">
      <protection hidden="1"/>
    </xf>
    <xf numFmtId="0" fontId="27" fillId="42" borderId="0" xfId="0" applyFont="1" applyFill="1" applyBorder="1" applyAlignment="1" applyProtection="1">
      <protection hidden="1"/>
    </xf>
    <xf numFmtId="0" fontId="194" fillId="35" borderId="0" xfId="69" applyFont="1" applyFill="1" applyBorder="1" applyAlignment="1" applyProtection="1">
      <alignment vertical="center" wrapText="1"/>
      <protection hidden="1"/>
    </xf>
    <xf numFmtId="164" fontId="52" fillId="35" borderId="0" xfId="46" applyNumberFormat="1" applyFont="1" applyFill="1" applyBorder="1" applyAlignment="1" applyProtection="1">
      <protection hidden="1"/>
    </xf>
    <xf numFmtId="0" fontId="3" fillId="35" borderId="210" xfId="69" applyFont="1" applyFill="1" applyBorder="1" applyAlignment="1" applyProtection="1">
      <protection hidden="1"/>
    </xf>
    <xf numFmtId="0" fontId="52" fillId="51" borderId="0" xfId="46" applyFont="1" applyFill="1" applyAlignment="1" applyProtection="1">
      <protection hidden="1"/>
    </xf>
    <xf numFmtId="165" fontId="47" fillId="53" borderId="0" xfId="63" applyNumberFormat="1" applyFont="1" applyFill="1" applyProtection="1">
      <protection hidden="1"/>
    </xf>
    <xf numFmtId="0" fontId="59" fillId="53" borderId="0" xfId="67" applyFont="1" applyFill="1" applyAlignment="1" applyProtection="1">
      <alignment horizontal="right"/>
      <protection hidden="1"/>
    </xf>
    <xf numFmtId="0" fontId="184" fillId="37" borderId="211" xfId="0" applyFont="1" applyFill="1" applyBorder="1" applyAlignment="1" applyProtection="1">
      <alignment horizontal="center"/>
      <protection locked="0"/>
    </xf>
    <xf numFmtId="0" fontId="48" fillId="53" borderId="0" xfId="0" applyFont="1" applyFill="1" applyProtection="1">
      <protection hidden="1"/>
    </xf>
    <xf numFmtId="0" fontId="171" fillId="0" borderId="0" xfId="63" applyFont="1" applyFill="1" applyProtection="1">
      <protection hidden="1"/>
    </xf>
    <xf numFmtId="0" fontId="171" fillId="0" borderId="0" xfId="0" applyFont="1" applyFill="1" applyProtection="1">
      <protection hidden="1"/>
    </xf>
    <xf numFmtId="2" fontId="171" fillId="0" borderId="17" xfId="67" applyNumberFormat="1" applyFont="1" applyFill="1" applyBorder="1" applyAlignment="1" applyProtection="1">
      <alignment horizontal="center"/>
      <protection hidden="1"/>
    </xf>
    <xf numFmtId="0" fontId="171" fillId="0" borderId="0" xfId="67" applyFont="1" applyFill="1" applyAlignment="1" applyProtection="1">
      <protection hidden="1"/>
    </xf>
    <xf numFmtId="0" fontId="47" fillId="0" borderId="0" xfId="0" applyFont="1"/>
    <xf numFmtId="2" fontId="5" fillId="37" borderId="0" xfId="69" applyNumberFormat="1" applyFont="1" applyFill="1" applyBorder="1" applyProtection="1">
      <protection hidden="1"/>
    </xf>
    <xf numFmtId="164" fontId="11" fillId="35" borderId="0" xfId="69" applyNumberFormat="1" applyFont="1" applyFill="1" applyBorder="1" applyAlignment="1" applyProtection="1">
      <alignment horizontal="center"/>
      <protection hidden="1"/>
    </xf>
    <xf numFmtId="0" fontId="3" fillId="35" borderId="0" xfId="73" applyFont="1" applyFill="1" applyBorder="1" applyAlignment="1" applyProtection="1">
      <alignment horizontal="left" wrapText="1"/>
      <protection hidden="1"/>
    </xf>
    <xf numFmtId="0" fontId="20" fillId="35" borderId="0" xfId="0" applyFont="1" applyFill="1" applyAlignment="1" applyProtection="1">
      <protection hidden="1"/>
    </xf>
    <xf numFmtId="2" fontId="11" fillId="51" borderId="0" xfId="86" applyNumberFormat="1" applyFont="1" applyFill="1" applyBorder="1" applyAlignment="1" applyProtection="1">
      <alignment vertical="top" wrapText="1"/>
      <protection hidden="1"/>
    </xf>
    <xf numFmtId="1" fontId="13" fillId="51" borderId="0" xfId="76" applyNumberFormat="1" applyFont="1" applyFill="1" applyBorder="1" applyAlignment="1" applyProtection="1">
      <alignment horizontal="center"/>
      <protection hidden="1"/>
    </xf>
    <xf numFmtId="164" fontId="13" fillId="51" borderId="0" xfId="76" applyNumberFormat="1" applyFont="1" applyFill="1" applyBorder="1" applyAlignment="1" applyProtection="1">
      <alignment horizontal="center"/>
      <protection hidden="1"/>
    </xf>
    <xf numFmtId="2" fontId="13" fillId="51" borderId="0" xfId="76" applyNumberFormat="1" applyFont="1" applyFill="1" applyBorder="1" applyAlignment="1" applyProtection="1">
      <alignment horizontal="center"/>
      <protection hidden="1"/>
    </xf>
    <xf numFmtId="165" fontId="13" fillId="51" borderId="0" xfId="76" applyNumberFormat="1" applyFont="1" applyFill="1" applyBorder="1" applyAlignment="1" applyProtection="1">
      <alignment horizontal="center"/>
      <protection hidden="1"/>
    </xf>
    <xf numFmtId="0" fontId="15" fillId="51" borderId="0" xfId="76" applyFont="1" applyFill="1" applyBorder="1" applyAlignment="1" applyProtection="1">
      <alignment horizontal="center"/>
      <protection hidden="1"/>
    </xf>
    <xf numFmtId="0" fontId="34" fillId="35" borderId="0" xfId="86" applyFont="1" applyFill="1" applyAlignment="1" applyProtection="1">
      <alignment horizontal="right"/>
      <protection hidden="1"/>
    </xf>
    <xf numFmtId="0" fontId="3" fillId="51" borderId="0" xfId="84" applyFill="1" applyAlignment="1" applyProtection="1">
      <alignment vertical="center"/>
      <protection hidden="1"/>
    </xf>
    <xf numFmtId="2" fontId="245" fillId="42" borderId="197" xfId="67" applyNumberFormat="1" applyFont="1" applyFill="1" applyBorder="1" applyAlignment="1" applyProtection="1">
      <alignment vertical="top" wrapText="1"/>
      <protection hidden="1"/>
    </xf>
    <xf numFmtId="164" fontId="11" fillId="35" borderId="0" xfId="69" applyNumberFormat="1" applyFont="1" applyFill="1" applyBorder="1" applyAlignment="1" applyProtection="1">
      <protection hidden="1"/>
    </xf>
    <xf numFmtId="0" fontId="51" fillId="35" borderId="0" xfId="66" applyFont="1" applyFill="1" applyBorder="1" applyAlignment="1" applyProtection="1">
      <alignment horizontal="left"/>
      <protection hidden="1"/>
    </xf>
    <xf numFmtId="0" fontId="1" fillId="51" borderId="0" xfId="69" applyFill="1" applyBorder="1" applyAlignment="1" applyProtection="1">
      <alignment wrapText="1"/>
      <protection hidden="1"/>
    </xf>
    <xf numFmtId="2" fontId="47" fillId="45" borderId="193" xfId="0" applyNumberFormat="1" applyFont="1" applyFill="1" applyBorder="1" applyAlignment="1" applyProtection="1">
      <alignment horizontal="center"/>
      <protection hidden="1"/>
    </xf>
    <xf numFmtId="0" fontId="47" fillId="80" borderId="21" xfId="67" applyFont="1" applyFill="1" applyBorder="1" applyAlignment="1" applyProtection="1">
      <protection hidden="1"/>
    </xf>
    <xf numFmtId="0" fontId="163" fillId="77" borderId="164" xfId="0" applyFont="1" applyFill="1" applyBorder="1" applyProtection="1">
      <protection hidden="1"/>
    </xf>
    <xf numFmtId="164" fontId="286" fillId="0" borderId="0" xfId="69" applyNumberFormat="1" applyFont="1" applyBorder="1" applyAlignment="1" applyProtection="1">
      <protection hidden="1"/>
    </xf>
    <xf numFmtId="164" fontId="287" fillId="0" borderId="16" xfId="69" applyNumberFormat="1" applyFont="1" applyBorder="1" applyAlignment="1" applyProtection="1">
      <protection hidden="1"/>
    </xf>
    <xf numFmtId="164" fontId="265" fillId="0" borderId="0" xfId="69" applyNumberFormat="1" applyFont="1" applyBorder="1" applyAlignment="1" applyProtection="1">
      <protection hidden="1"/>
    </xf>
    <xf numFmtId="164" fontId="287" fillId="0" borderId="12" xfId="66" applyNumberFormat="1" applyFont="1" applyBorder="1" applyAlignment="1" applyProtection="1">
      <protection hidden="1"/>
    </xf>
    <xf numFmtId="164" fontId="286" fillId="0" borderId="12" xfId="66" applyNumberFormat="1" applyFont="1" applyBorder="1" applyAlignment="1" applyProtection="1">
      <protection hidden="1"/>
    </xf>
    <xf numFmtId="164" fontId="287" fillId="0" borderId="12" xfId="0" applyNumberFormat="1" applyFont="1" applyBorder="1" applyProtection="1">
      <protection hidden="1"/>
    </xf>
    <xf numFmtId="164" fontId="286" fillId="0" borderId="16" xfId="63" applyNumberFormat="1" applyFont="1" applyBorder="1" applyAlignment="1" applyProtection="1">
      <protection hidden="1"/>
    </xf>
    <xf numFmtId="0" fontId="47" fillId="0" borderId="96" xfId="67" applyFont="1" applyBorder="1" applyAlignment="1" applyProtection="1">
      <protection hidden="1"/>
    </xf>
    <xf numFmtId="0" fontId="47" fillId="35" borderId="0" xfId="69" applyFont="1" applyFill="1" applyBorder="1" applyAlignment="1" applyProtection="1">
      <alignment horizontal="left"/>
      <protection locked="0"/>
    </xf>
    <xf numFmtId="49" fontId="3" fillId="35" borderId="0" xfId="69" applyNumberFormat="1" applyFont="1" applyFill="1" applyBorder="1" applyAlignment="1" applyProtection="1">
      <protection locked="0"/>
    </xf>
    <xf numFmtId="49" fontId="3" fillId="35" borderId="0" xfId="0" applyNumberFormat="1" applyFont="1" applyFill="1" applyAlignment="1" applyProtection="1">
      <alignment horizontal="left"/>
      <protection locked="0"/>
    </xf>
    <xf numFmtId="0" fontId="10" fillId="0" borderId="0" xfId="69" applyFont="1" applyFill="1" applyBorder="1" applyAlignment="1" applyProtection="1">
      <alignment horizontal="center"/>
      <protection hidden="1"/>
    </xf>
    <xf numFmtId="0" fontId="3" fillId="0" borderId="0" xfId="69" applyFont="1" applyAlignment="1" applyProtection="1">
      <alignment horizontal="left"/>
      <protection hidden="1"/>
    </xf>
    <xf numFmtId="0" fontId="3" fillId="0" borderId="0" xfId="0" applyFont="1" applyBorder="1" applyAlignment="1" applyProtection="1">
      <protection hidden="1"/>
    </xf>
    <xf numFmtId="1" fontId="11" fillId="0" borderId="0" xfId="69" applyNumberFormat="1" applyFont="1" applyFill="1" applyBorder="1" applyProtection="1">
      <protection hidden="1"/>
    </xf>
    <xf numFmtId="167" fontId="11" fillId="0" borderId="0" xfId="69" applyNumberFormat="1" applyFont="1" applyFill="1" applyBorder="1" applyProtection="1">
      <protection hidden="1"/>
    </xf>
    <xf numFmtId="0" fontId="198" fillId="0" borderId="0" xfId="69" applyNumberFormat="1" applyFont="1" applyFill="1" applyBorder="1" applyProtection="1">
      <protection hidden="1"/>
    </xf>
    <xf numFmtId="49" fontId="11" fillId="0" borderId="0" xfId="69" applyNumberFormat="1" applyFont="1" applyFill="1" applyBorder="1" applyProtection="1">
      <protection hidden="1"/>
    </xf>
    <xf numFmtId="10" fontId="11" fillId="0" borderId="0" xfId="69" applyNumberFormat="1" applyFont="1" applyFill="1" applyBorder="1" applyProtection="1">
      <protection hidden="1"/>
    </xf>
    <xf numFmtId="0" fontId="47" fillId="0" borderId="195" xfId="63" applyFont="1" applyFill="1" applyBorder="1" applyProtection="1">
      <protection hidden="1"/>
    </xf>
    <xf numFmtId="0" fontId="3" fillId="37" borderId="213" xfId="0" applyFont="1" applyFill="1" applyBorder="1" applyAlignment="1" applyProtection="1">
      <protection locked="0"/>
    </xf>
    <xf numFmtId="1" fontId="198" fillId="0" borderId="0" xfId="69" applyNumberFormat="1" applyFont="1" applyFill="1" applyBorder="1" applyProtection="1">
      <protection hidden="1"/>
    </xf>
    <xf numFmtId="0" fontId="3" fillId="0" borderId="189" xfId="69" applyFont="1" applyBorder="1" applyAlignment="1" applyProtection="1">
      <alignment horizontal="right"/>
      <protection hidden="1"/>
    </xf>
    <xf numFmtId="0" fontId="3" fillId="0" borderId="190" xfId="69" applyFont="1" applyBorder="1" applyAlignment="1" applyProtection="1">
      <alignment horizontal="right"/>
      <protection hidden="1"/>
    </xf>
    <xf numFmtId="1" fontId="3" fillId="0" borderId="214" xfId="69" applyNumberFormat="1" applyFont="1" applyFill="1" applyBorder="1" applyAlignment="1" applyProtection="1">
      <protection hidden="1"/>
    </xf>
    <xf numFmtId="1" fontId="47" fillId="0" borderId="214" xfId="63" applyNumberFormat="1" applyFont="1" applyBorder="1" applyProtection="1">
      <protection hidden="1"/>
    </xf>
    <xf numFmtId="0" fontId="267" fillId="75" borderId="215" xfId="69" applyFont="1" applyFill="1" applyBorder="1" applyAlignment="1" applyProtection="1">
      <protection locked="0"/>
    </xf>
    <xf numFmtId="0" fontId="3" fillId="75" borderId="216" xfId="69" applyFont="1" applyFill="1" applyBorder="1" applyAlignment="1" applyProtection="1">
      <protection locked="0"/>
    </xf>
    <xf numFmtId="0" fontId="3" fillId="75" borderId="217" xfId="69" applyFont="1" applyFill="1" applyBorder="1" applyAlignment="1" applyProtection="1">
      <protection locked="0"/>
    </xf>
    <xf numFmtId="0" fontId="271" fillId="76" borderId="218" xfId="108" applyFont="1" applyFill="1" applyBorder="1" applyProtection="1">
      <protection locked="0"/>
    </xf>
    <xf numFmtId="0" fontId="3" fillId="76" borderId="217" xfId="108" applyFont="1" applyFill="1" applyBorder="1" applyProtection="1">
      <protection locked="0"/>
    </xf>
    <xf numFmtId="0" fontId="245" fillId="74" borderId="119" xfId="63" applyFont="1" applyFill="1" applyBorder="1" applyProtection="1">
      <protection locked="0"/>
    </xf>
    <xf numFmtId="0" fontId="3" fillId="74" borderId="215" xfId="63" applyFont="1" applyFill="1" applyBorder="1" applyProtection="1">
      <protection locked="0"/>
    </xf>
    <xf numFmtId="0" fontId="267" fillId="75" borderId="217" xfId="0" applyFont="1" applyFill="1" applyBorder="1" applyProtection="1">
      <protection locked="0"/>
    </xf>
    <xf numFmtId="0" fontId="271" fillId="71" borderId="217" xfId="0" applyFont="1" applyFill="1" applyBorder="1" applyProtection="1">
      <protection locked="0"/>
    </xf>
    <xf numFmtId="2" fontId="245" fillId="74" borderId="217" xfId="0" applyNumberFormat="1" applyFont="1" applyFill="1" applyBorder="1" applyProtection="1">
      <protection locked="0"/>
    </xf>
    <xf numFmtId="0" fontId="267" fillId="74" borderId="215" xfId="0" applyFont="1" applyFill="1" applyBorder="1" applyProtection="1">
      <protection locked="0"/>
    </xf>
    <xf numFmtId="0" fontId="3" fillId="74" borderId="219" xfId="63" applyFont="1" applyFill="1" applyBorder="1" applyProtection="1">
      <protection locked="0"/>
    </xf>
    <xf numFmtId="0" fontId="3" fillId="74" borderId="119" xfId="63" applyFont="1" applyFill="1" applyBorder="1" applyProtection="1">
      <protection locked="0"/>
    </xf>
    <xf numFmtId="0" fontId="271" fillId="76" borderId="215" xfId="63" applyFont="1" applyFill="1" applyBorder="1" applyProtection="1">
      <protection locked="0"/>
    </xf>
    <xf numFmtId="0" fontId="3" fillId="76" borderId="215" xfId="63" applyFont="1" applyFill="1" applyBorder="1" applyProtection="1">
      <protection locked="0"/>
    </xf>
    <xf numFmtId="0" fontId="3" fillId="76" borderId="119" xfId="63" applyFont="1" applyFill="1" applyBorder="1" applyProtection="1">
      <protection locked="0"/>
    </xf>
    <xf numFmtId="1" fontId="47" fillId="0" borderId="214" xfId="0" applyNumberFormat="1" applyFont="1" applyBorder="1" applyProtection="1">
      <protection hidden="1"/>
    </xf>
    <xf numFmtId="0" fontId="3" fillId="7" borderId="59" xfId="81" applyFont="1" applyFill="1" applyBorder="1" applyAlignment="1" applyProtection="1">
      <alignment horizontal="right"/>
      <protection locked="0"/>
    </xf>
    <xf numFmtId="0" fontId="3" fillId="7" borderId="61" xfId="81" applyFont="1" applyFill="1" applyBorder="1" applyAlignment="1" applyProtection="1">
      <alignment horizontal="right"/>
      <protection locked="0"/>
    </xf>
    <xf numFmtId="0" fontId="3" fillId="0" borderId="16" xfId="81" applyFont="1" applyBorder="1" applyAlignment="1" applyProtection="1">
      <alignment horizontal="right"/>
      <protection locked="0"/>
    </xf>
    <xf numFmtId="1" fontId="3" fillId="0" borderId="16" xfId="81" applyNumberFormat="1" applyFont="1" applyFill="1" applyBorder="1" applyAlignment="1" applyProtection="1">
      <protection hidden="1"/>
    </xf>
    <xf numFmtId="0" fontId="3" fillId="0" borderId="16" xfId="81" applyFont="1" applyBorder="1" applyAlignment="1" applyProtection="1">
      <protection locked="0"/>
    </xf>
    <xf numFmtId="0" fontId="3" fillId="0" borderId="16" xfId="81" applyFont="1" applyFill="1" applyBorder="1" applyAlignment="1" applyProtection="1">
      <alignment horizontal="right"/>
      <protection locked="0"/>
    </xf>
    <xf numFmtId="1" fontId="3" fillId="0" borderId="16" xfId="81" applyNumberFormat="1" applyFont="1" applyBorder="1" applyAlignment="1" applyProtection="1">
      <alignment horizontal="right"/>
      <protection locked="0"/>
    </xf>
    <xf numFmtId="1" fontId="3" fillId="0" borderId="16" xfId="81" applyNumberFormat="1" applyFont="1" applyBorder="1" applyAlignment="1" applyProtection="1">
      <protection locked="0"/>
    </xf>
    <xf numFmtId="0" fontId="3" fillId="0" borderId="179" xfId="81" applyFont="1" applyFill="1" applyBorder="1" applyAlignment="1" applyProtection="1">
      <protection locked="0"/>
    </xf>
    <xf numFmtId="0" fontId="3" fillId="7" borderId="182" xfId="81" applyFont="1" applyFill="1" applyBorder="1" applyAlignment="1" applyProtection="1">
      <alignment horizontal="right"/>
      <protection locked="0"/>
    </xf>
    <xf numFmtId="0" fontId="3" fillId="7" borderId="221" xfId="81" applyFont="1" applyFill="1" applyBorder="1" applyAlignment="1" applyProtection="1">
      <alignment horizontal="right"/>
      <protection locked="0"/>
    </xf>
    <xf numFmtId="1" fontId="3" fillId="0" borderId="179" xfId="81" applyNumberFormat="1" applyFont="1" applyFill="1" applyBorder="1" applyAlignment="1" applyProtection="1">
      <protection hidden="1"/>
    </xf>
    <xf numFmtId="0" fontId="3" fillId="0" borderId="179" xfId="81" applyFont="1" applyFill="1" applyBorder="1" applyAlignment="1" applyProtection="1">
      <alignment horizontal="right"/>
      <protection locked="0"/>
    </xf>
    <xf numFmtId="0" fontId="3" fillId="0" borderId="179" xfId="81" applyFont="1" applyBorder="1" applyAlignment="1" applyProtection="1">
      <alignment horizontal="right"/>
      <protection locked="0"/>
    </xf>
    <xf numFmtId="1" fontId="3" fillId="0" borderId="179" xfId="81" applyNumberFormat="1" applyFont="1" applyFill="1" applyBorder="1" applyAlignment="1" applyProtection="1">
      <protection locked="0"/>
    </xf>
    <xf numFmtId="1" fontId="3" fillId="0" borderId="179" xfId="81" applyNumberFormat="1" applyFont="1" applyFill="1" applyBorder="1" applyAlignment="1" applyProtection="1">
      <alignment horizontal="right"/>
      <protection locked="0"/>
    </xf>
    <xf numFmtId="0" fontId="3" fillId="0" borderId="214" xfId="81" applyFont="1" applyBorder="1" applyAlignment="1" applyProtection="1">
      <protection locked="0"/>
    </xf>
    <xf numFmtId="0" fontId="3" fillId="7" borderId="222" xfId="81" applyFont="1" applyFill="1" applyBorder="1" applyAlignment="1" applyProtection="1">
      <alignment horizontal="right"/>
      <protection locked="0"/>
    </xf>
    <xf numFmtId="0" fontId="3" fillId="7" borderId="223" xfId="81" applyFont="1" applyFill="1" applyBorder="1" applyAlignment="1" applyProtection="1">
      <alignment horizontal="right"/>
      <protection locked="0"/>
    </xf>
    <xf numFmtId="0" fontId="3" fillId="0" borderId="214" xfId="81" applyFont="1" applyBorder="1" applyAlignment="1" applyProtection="1">
      <alignment horizontal="right"/>
      <protection locked="0"/>
    </xf>
    <xf numFmtId="1" fontId="3" fillId="0" borderId="214" xfId="81" applyNumberFormat="1" applyFont="1" applyFill="1" applyBorder="1" applyAlignment="1" applyProtection="1">
      <protection hidden="1"/>
    </xf>
    <xf numFmtId="0" fontId="3" fillId="38" borderId="214" xfId="81" applyFont="1" applyFill="1" applyBorder="1" applyAlignment="1" applyProtection="1">
      <protection locked="0"/>
    </xf>
    <xf numFmtId="0" fontId="3" fillId="0" borderId="214" xfId="81" applyFont="1" applyFill="1" applyBorder="1" applyAlignment="1" applyProtection="1">
      <alignment horizontal="right"/>
      <protection locked="0"/>
    </xf>
    <xf numFmtId="1" fontId="3" fillId="0" borderId="214" xfId="81" applyNumberFormat="1" applyFont="1" applyBorder="1" applyAlignment="1" applyProtection="1">
      <alignment horizontal="right"/>
      <protection locked="0"/>
    </xf>
    <xf numFmtId="1" fontId="3" fillId="0" borderId="214" xfId="81" applyNumberFormat="1" applyFont="1" applyBorder="1" applyAlignment="1" applyProtection="1">
      <protection locked="0"/>
    </xf>
    <xf numFmtId="0" fontId="3" fillId="0" borderId="214" xfId="81" applyFont="1" applyFill="1" applyBorder="1" applyAlignment="1" applyProtection="1">
      <protection locked="0"/>
    </xf>
    <xf numFmtId="0" fontId="32" fillId="0" borderId="214" xfId="81" applyFont="1" applyBorder="1" applyAlignment="1" applyProtection="1">
      <alignment horizontal="right"/>
      <protection locked="0"/>
    </xf>
    <xf numFmtId="1" fontId="3" fillId="0" borderId="214" xfId="81" applyNumberFormat="1" applyFont="1" applyFill="1" applyBorder="1" applyAlignment="1" applyProtection="1">
      <protection locked="0"/>
    </xf>
    <xf numFmtId="1" fontId="3" fillId="0" borderId="214" xfId="81" applyNumberFormat="1" applyFont="1" applyFill="1" applyBorder="1" applyAlignment="1" applyProtection="1">
      <alignment horizontal="right"/>
      <protection locked="0"/>
    </xf>
    <xf numFmtId="2" fontId="5" fillId="41" borderId="17" xfId="70" applyNumberFormat="1" applyFont="1" applyFill="1" applyBorder="1" applyAlignment="1" applyProtection="1">
      <alignment horizontal="center"/>
      <protection locked="0"/>
    </xf>
    <xf numFmtId="0" fontId="3" fillId="35" borderId="196" xfId="74" applyFont="1" applyFill="1" applyBorder="1" applyAlignment="1" applyProtection="1">
      <protection hidden="1"/>
    </xf>
    <xf numFmtId="0" fontId="3" fillId="41" borderId="172" xfId="74" applyNumberFormat="1" applyFont="1" applyFill="1" applyBorder="1" applyAlignment="1" applyProtection="1">
      <alignment horizontal="center"/>
      <protection locked="0"/>
    </xf>
    <xf numFmtId="0" fontId="3" fillId="35" borderId="167" xfId="74" applyFont="1" applyFill="1" applyBorder="1" applyAlignment="1" applyProtection="1">
      <protection hidden="1"/>
    </xf>
    <xf numFmtId="0" fontId="3" fillId="35" borderId="183" xfId="74" applyFont="1" applyFill="1" applyBorder="1" applyProtection="1">
      <protection hidden="1"/>
    </xf>
    <xf numFmtId="171" fontId="3" fillId="41" borderId="224" xfId="74" applyNumberFormat="1" applyFont="1" applyFill="1" applyBorder="1" applyAlignment="1" applyProtection="1">
      <alignment horizontal="center"/>
      <protection locked="0"/>
    </xf>
    <xf numFmtId="164" fontId="87" fillId="35" borderId="0" xfId="76" applyNumberFormat="1" applyFont="1" applyFill="1" applyAlignment="1" applyProtection="1">
      <protection hidden="1"/>
    </xf>
    <xf numFmtId="0" fontId="15" fillId="35" borderId="0" xfId="76" applyFont="1" applyFill="1" applyBorder="1" applyAlignment="1" applyProtection="1">
      <protection hidden="1"/>
    </xf>
    <xf numFmtId="0" fontId="47" fillId="42" borderId="225" xfId="108" applyFill="1" applyBorder="1" applyAlignment="1" applyProtection="1">
      <alignment horizontal="center"/>
      <protection hidden="1"/>
    </xf>
    <xf numFmtId="0" fontId="47" fillId="44" borderId="225" xfId="108" applyFill="1" applyBorder="1" applyAlignment="1" applyProtection="1">
      <alignment horizontal="center"/>
      <protection locked="0"/>
    </xf>
    <xf numFmtId="0" fontId="3" fillId="0" borderId="0" xfId="81" applyFont="1" applyProtection="1">
      <protection hidden="1"/>
    </xf>
    <xf numFmtId="0" fontId="52" fillId="35" borderId="0" xfId="52" applyFont="1" applyFill="1" applyAlignment="1" applyProtection="1">
      <alignment horizontal="right"/>
      <protection hidden="1"/>
    </xf>
    <xf numFmtId="0" fontId="33" fillId="35" borderId="0" xfId="81" applyFont="1" applyFill="1" applyProtection="1">
      <protection hidden="1"/>
    </xf>
    <xf numFmtId="0" fontId="11" fillId="35" borderId="0" xfId="81" applyFont="1" applyFill="1" applyProtection="1">
      <protection hidden="1"/>
    </xf>
    <xf numFmtId="1" fontId="40" fillId="0" borderId="0" xfId="81" applyNumberFormat="1" applyFont="1" applyProtection="1">
      <protection hidden="1"/>
    </xf>
    <xf numFmtId="0" fontId="130" fillId="0" borderId="0" xfId="81" applyProtection="1">
      <protection hidden="1"/>
    </xf>
    <xf numFmtId="0" fontId="11" fillId="35" borderId="0" xfId="70" applyFont="1" applyFill="1" applyBorder="1" applyAlignment="1" applyProtection="1">
      <protection hidden="1"/>
    </xf>
    <xf numFmtId="0" fontId="47" fillId="76" borderId="226" xfId="63" applyFont="1" applyFill="1" applyBorder="1" applyProtection="1">
      <protection locked="0"/>
    </xf>
    <xf numFmtId="0" fontId="47" fillId="76" borderId="227" xfId="63" applyFont="1" applyFill="1" applyBorder="1" applyProtection="1">
      <protection locked="0"/>
    </xf>
    <xf numFmtId="0" fontId="47" fillId="76" borderId="228" xfId="63" applyFont="1" applyFill="1" applyBorder="1" applyProtection="1">
      <protection locked="0"/>
    </xf>
    <xf numFmtId="2" fontId="168" fillId="42" borderId="22" xfId="63" applyNumberFormat="1" applyFont="1" applyFill="1" applyBorder="1" applyProtection="1">
      <protection hidden="1"/>
    </xf>
    <xf numFmtId="1" fontId="235" fillId="42" borderId="200" xfId="0" applyNumberFormat="1" applyFont="1" applyFill="1" applyBorder="1" applyProtection="1">
      <protection hidden="1"/>
    </xf>
    <xf numFmtId="1" fontId="239" fillId="53" borderId="200" xfId="0" applyNumberFormat="1" applyFont="1" applyFill="1" applyBorder="1" applyProtection="1">
      <protection hidden="1"/>
    </xf>
    <xf numFmtId="164" fontId="234" fillId="42" borderId="96" xfId="67" applyNumberFormat="1" applyFont="1" applyFill="1" applyBorder="1" applyAlignment="1" applyProtection="1">
      <alignment horizontal="right"/>
      <protection hidden="1"/>
    </xf>
    <xf numFmtId="164" fontId="236" fillId="42" borderId="96" xfId="67" applyNumberFormat="1" applyFont="1" applyFill="1" applyBorder="1" applyAlignment="1" applyProtection="1">
      <alignment horizontal="right"/>
      <protection hidden="1"/>
    </xf>
    <xf numFmtId="0" fontId="258" fillId="0" borderId="68" xfId="0" applyFont="1" applyBorder="1" applyAlignment="1" applyProtection="1">
      <alignment horizontal="right"/>
      <protection hidden="1"/>
    </xf>
    <xf numFmtId="49" fontId="5" fillId="0" borderId="50" xfId="0" applyNumberFormat="1" applyFont="1" applyFill="1" applyBorder="1" applyAlignment="1" applyProtection="1">
      <alignment horizontal="right"/>
      <protection hidden="1"/>
    </xf>
    <xf numFmtId="49" fontId="33" fillId="0" borderId="50" xfId="66" applyNumberFormat="1" applyFont="1" applyFill="1" applyBorder="1" applyAlignment="1" applyProtection="1">
      <alignment horizontal="right"/>
      <protection hidden="1"/>
    </xf>
    <xf numFmtId="0" fontId="5" fillId="0" borderId="50" xfId="0" applyFont="1" applyFill="1" applyBorder="1" applyAlignment="1" applyProtection="1">
      <alignment horizontal="right"/>
      <protection hidden="1"/>
    </xf>
    <xf numFmtId="2" fontId="37" fillId="35" borderId="220" xfId="66" applyNumberFormat="1" applyFont="1" applyFill="1" applyBorder="1" applyAlignment="1" applyProtection="1">
      <alignment horizontal="center"/>
      <protection hidden="1"/>
    </xf>
    <xf numFmtId="0" fontId="15" fillId="0" borderId="167" xfId="73" applyFont="1" applyFill="1" applyBorder="1" applyAlignment="1" applyProtection="1">
      <alignment horizontal="center"/>
      <protection hidden="1"/>
    </xf>
    <xf numFmtId="0" fontId="37" fillId="0" borderId="220" xfId="69" applyFont="1" applyFill="1" applyBorder="1" applyAlignment="1" applyProtection="1">
      <alignment horizontal="center"/>
      <protection hidden="1"/>
    </xf>
    <xf numFmtId="164" fontId="15" fillId="0" borderId="167" xfId="73" applyNumberFormat="1" applyFont="1" applyBorder="1" applyAlignment="1" applyProtection="1">
      <protection hidden="1"/>
    </xf>
    <xf numFmtId="164" fontId="37" fillId="0" borderId="220" xfId="69" applyNumberFormat="1" applyFont="1" applyBorder="1" applyAlignment="1" applyProtection="1">
      <protection hidden="1"/>
    </xf>
    <xf numFmtId="49" fontId="33" fillId="0" borderId="220" xfId="66" applyNumberFormat="1" applyFont="1" applyFill="1" applyBorder="1" applyAlignment="1" applyProtection="1">
      <protection hidden="1"/>
    </xf>
    <xf numFmtId="0" fontId="3" fillId="0" borderId="220" xfId="84" applyBorder="1" applyProtection="1">
      <protection hidden="1"/>
    </xf>
    <xf numFmtId="164" fontId="58" fillId="36" borderId="220" xfId="69" applyNumberFormat="1" applyFont="1" applyFill="1" applyBorder="1" applyAlignment="1" applyProtection="1">
      <protection hidden="1"/>
    </xf>
    <xf numFmtId="0" fontId="3" fillId="0" borderId="167" xfId="84" applyBorder="1" applyProtection="1">
      <protection hidden="1"/>
    </xf>
    <xf numFmtId="0" fontId="12" fillId="0" borderId="167" xfId="69" applyFont="1" applyFill="1" applyBorder="1" applyAlignment="1" applyProtection="1">
      <protection hidden="1"/>
    </xf>
    <xf numFmtId="0" fontId="12" fillId="0" borderId="220" xfId="69" applyFont="1" applyFill="1" applyBorder="1" applyAlignment="1" applyProtection="1">
      <protection hidden="1"/>
    </xf>
    <xf numFmtId="164" fontId="21" fillId="0" borderId="167" xfId="73" applyNumberFormat="1" applyFont="1" applyBorder="1" applyAlignment="1" applyProtection="1">
      <protection hidden="1"/>
    </xf>
    <xf numFmtId="9" fontId="45" fillId="0" borderId="167" xfId="82" applyNumberFormat="1" applyFont="1" applyFill="1" applyBorder="1" applyAlignment="1" applyProtection="1">
      <protection hidden="1"/>
    </xf>
    <xf numFmtId="0" fontId="52" fillId="0" borderId="167" xfId="46" applyFont="1" applyBorder="1" applyAlignment="1" applyProtection="1">
      <protection hidden="1"/>
    </xf>
    <xf numFmtId="2" fontId="96" fillId="35" borderId="220" xfId="0" applyNumberFormat="1" applyFont="1" applyFill="1" applyBorder="1" applyAlignment="1" applyProtection="1">
      <protection hidden="1"/>
    </xf>
    <xf numFmtId="2" fontId="11" fillId="35" borderId="220" xfId="84" applyNumberFormat="1" applyFont="1" applyFill="1" applyBorder="1" applyAlignment="1" applyProtection="1">
      <protection hidden="1"/>
    </xf>
    <xf numFmtId="0" fontId="13" fillId="35" borderId="231" xfId="84" applyFont="1" applyFill="1" applyBorder="1" applyAlignment="1" applyProtection="1">
      <protection hidden="1"/>
    </xf>
    <xf numFmtId="164" fontId="258" fillId="35" borderId="229" xfId="69" applyNumberFormat="1" applyFont="1" applyFill="1" applyBorder="1" applyAlignment="1" applyProtection="1">
      <alignment horizontal="right"/>
      <protection hidden="1"/>
    </xf>
    <xf numFmtId="164" fontId="259" fillId="35" borderId="232" xfId="69" applyNumberFormat="1" applyFont="1" applyFill="1" applyBorder="1" applyAlignment="1" applyProtection="1">
      <alignment horizontal="right"/>
      <protection hidden="1"/>
    </xf>
    <xf numFmtId="0" fontId="266" fillId="77" borderId="144" xfId="0" applyFont="1" applyFill="1" applyBorder="1" applyAlignment="1" applyProtection="1">
      <alignment horizontal="center"/>
      <protection hidden="1"/>
    </xf>
    <xf numFmtId="2" fontId="12" fillId="35" borderId="0" xfId="84" applyNumberFormat="1" applyFont="1" applyFill="1" applyBorder="1" applyAlignment="1" applyProtection="1">
      <alignment horizontal="right"/>
      <protection hidden="1"/>
    </xf>
    <xf numFmtId="164" fontId="98" fillId="35" borderId="229" xfId="69" applyNumberFormat="1" applyFont="1" applyFill="1" applyBorder="1" applyAlignment="1" applyProtection="1">
      <alignment horizontal="right"/>
      <protection hidden="1"/>
    </xf>
    <xf numFmtId="164" fontId="259" fillId="35" borderId="229" xfId="69" applyNumberFormat="1" applyFont="1" applyFill="1" applyBorder="1" applyAlignment="1" applyProtection="1">
      <alignment horizontal="right"/>
      <protection hidden="1"/>
    </xf>
    <xf numFmtId="164" fontId="259" fillId="43" borderId="233" xfId="67" applyNumberFormat="1" applyFont="1" applyFill="1" applyBorder="1" applyAlignment="1" applyProtection="1">
      <alignment horizontal="right"/>
      <protection hidden="1"/>
    </xf>
    <xf numFmtId="0" fontId="184" fillId="37" borderId="144" xfId="0" applyFont="1" applyFill="1" applyBorder="1" applyAlignment="1" applyProtection="1">
      <alignment horizontal="center"/>
      <protection locked="0"/>
    </xf>
    <xf numFmtId="0" fontId="3" fillId="0" borderId="169" xfId="0" applyFont="1" applyBorder="1" applyProtection="1">
      <protection hidden="1"/>
    </xf>
    <xf numFmtId="164" fontId="52" fillId="35" borderId="170" xfId="46" applyNumberFormat="1" applyFont="1" applyFill="1" applyBorder="1" applyAlignment="1" applyProtection="1">
      <alignment horizontal="right"/>
      <protection hidden="1"/>
    </xf>
    <xf numFmtId="164" fontId="3" fillId="35" borderId="220" xfId="69" applyNumberFormat="1" applyFont="1" applyFill="1" applyBorder="1" applyAlignment="1" applyProtection="1">
      <alignment horizontal="left"/>
      <protection hidden="1"/>
    </xf>
    <xf numFmtId="0" fontId="171" fillId="51" borderId="18" xfId="67" applyFont="1" applyFill="1" applyBorder="1" applyAlignment="1" applyProtection="1">
      <alignment horizontal="center"/>
      <protection hidden="1"/>
    </xf>
    <xf numFmtId="0" fontId="171" fillId="35" borderId="0" xfId="67" applyFont="1" applyFill="1" applyBorder="1" applyAlignment="1" applyProtection="1">
      <alignment horizontal="center"/>
      <protection hidden="1"/>
    </xf>
    <xf numFmtId="0" fontId="171" fillId="35" borderId="22" xfId="67" applyFont="1" applyFill="1" applyBorder="1" applyAlignment="1" applyProtection="1">
      <alignment horizontal="center"/>
      <protection hidden="1"/>
    </xf>
    <xf numFmtId="1" fontId="168" fillId="35" borderId="0" xfId="67" applyNumberFormat="1" applyFont="1" applyFill="1" applyAlignment="1" applyProtection="1">
      <alignment horizontal="center"/>
      <protection hidden="1"/>
    </xf>
    <xf numFmtId="0" fontId="47" fillId="37" borderId="168" xfId="67" applyFont="1" applyFill="1" applyBorder="1" applyAlignment="1" applyProtection="1">
      <alignment horizontal="left"/>
      <protection locked="0"/>
    </xf>
    <xf numFmtId="164" fontId="184" fillId="0" borderId="235" xfId="67" applyNumberFormat="1" applyFont="1" applyBorder="1" applyProtection="1">
      <protection hidden="1"/>
    </xf>
    <xf numFmtId="164" fontId="184" fillId="0" borderId="235" xfId="67" applyNumberFormat="1" applyFont="1" applyFill="1" applyBorder="1" applyProtection="1">
      <protection hidden="1"/>
    </xf>
    <xf numFmtId="2" fontId="168" fillId="0" borderId="235" xfId="67" applyNumberFormat="1" applyFont="1" applyFill="1" applyBorder="1" applyProtection="1">
      <protection hidden="1"/>
    </xf>
    <xf numFmtId="1" fontId="45" fillId="0" borderId="235" xfId="63" applyNumberFormat="1" applyFont="1" applyFill="1" applyBorder="1" applyProtection="1">
      <protection hidden="1"/>
    </xf>
    <xf numFmtId="9" fontId="45" fillId="0" borderId="235" xfId="67" applyNumberFormat="1" applyFont="1" applyFill="1" applyBorder="1" applyProtection="1">
      <protection hidden="1"/>
    </xf>
    <xf numFmtId="171" fontId="3" fillId="41" borderId="16" xfId="74" applyNumberFormat="1" applyFont="1" applyFill="1" applyBorder="1" applyAlignment="1" applyProtection="1">
      <alignment horizontal="center"/>
      <protection locked="0"/>
    </xf>
    <xf numFmtId="0" fontId="34" fillId="51" borderId="0" xfId="0" applyFont="1" applyFill="1" applyAlignment="1" applyProtection="1">
      <alignment horizontal="center"/>
      <protection hidden="1"/>
    </xf>
    <xf numFmtId="0" fontId="7" fillId="35" borderId="0" xfId="75" applyFont="1" applyFill="1" applyAlignment="1" applyProtection="1">
      <alignment horizontal="right"/>
      <protection hidden="1"/>
    </xf>
    <xf numFmtId="0" fontId="3" fillId="51" borderId="0" xfId="76" applyFont="1" applyFill="1" applyAlignment="1" applyProtection="1">
      <protection hidden="1"/>
    </xf>
    <xf numFmtId="0" fontId="0" fillId="0" borderId="0" xfId="0" applyProtection="1">
      <protection hidden="1"/>
    </xf>
    <xf numFmtId="0" fontId="3" fillId="35" borderId="0" xfId="81" applyFont="1" applyFill="1" applyAlignment="1" applyProtection="1">
      <alignment vertical="center" wrapText="1"/>
      <protection hidden="1"/>
    </xf>
    <xf numFmtId="0" fontId="184" fillId="72" borderId="0" xfId="76" applyFont="1" applyFill="1" applyProtection="1">
      <protection locked="0"/>
    </xf>
    <xf numFmtId="0" fontId="184" fillId="0" borderId="209" xfId="67" applyFont="1" applyFill="1" applyBorder="1" applyAlignment="1" applyProtection="1">
      <alignment horizontal="right"/>
      <protection hidden="1"/>
    </xf>
    <xf numFmtId="164" fontId="184" fillId="0" borderId="52" xfId="67" applyNumberFormat="1" applyFont="1" applyBorder="1" applyProtection="1">
      <protection hidden="1"/>
    </xf>
    <xf numFmtId="164" fontId="184" fillId="0" borderId="52" xfId="67" applyNumberFormat="1" applyFont="1" applyFill="1" applyBorder="1" applyProtection="1">
      <protection hidden="1"/>
    </xf>
    <xf numFmtId="0" fontId="47" fillId="0" borderId="236" xfId="63" applyFont="1" applyFill="1" applyBorder="1" applyProtection="1">
      <protection hidden="1"/>
    </xf>
    <xf numFmtId="0" fontId="85" fillId="0" borderId="0" xfId="0" applyFont="1" applyFill="1" applyBorder="1" applyProtection="1">
      <protection hidden="1"/>
    </xf>
    <xf numFmtId="1" fontId="45" fillId="0" borderId="0" xfId="67" applyNumberFormat="1" applyFont="1" applyFill="1" applyBorder="1" applyProtection="1">
      <protection hidden="1"/>
    </xf>
    <xf numFmtId="9" fontId="45" fillId="0" borderId="0" xfId="67" applyNumberFormat="1" applyFont="1" applyFill="1" applyBorder="1" applyProtection="1">
      <protection hidden="1"/>
    </xf>
    <xf numFmtId="0" fontId="290" fillId="0" borderId="60" xfId="0" applyFont="1" applyBorder="1" applyProtection="1">
      <protection hidden="1"/>
    </xf>
    <xf numFmtId="0" fontId="184" fillId="0" borderId="237" xfId="63" applyFont="1" applyBorder="1" applyAlignment="1" applyProtection="1">
      <alignment horizontal="right"/>
      <protection hidden="1"/>
    </xf>
    <xf numFmtId="0" fontId="184" fillId="0" borderId="238" xfId="63" applyFont="1" applyBorder="1" applyAlignment="1" applyProtection="1">
      <alignment horizontal="left"/>
      <protection hidden="1"/>
    </xf>
    <xf numFmtId="1" fontId="184" fillId="0" borderId="239" xfId="58" applyNumberFormat="1" applyFont="1" applyFill="1" applyBorder="1" applyAlignment="1" applyProtection="1">
      <protection hidden="1"/>
    </xf>
    <xf numFmtId="0" fontId="184" fillId="0" borderId="240" xfId="63" applyFont="1" applyBorder="1" applyProtection="1">
      <protection hidden="1"/>
    </xf>
    <xf numFmtId="0" fontId="184" fillId="0" borderId="240" xfId="63" applyFont="1" applyFill="1" applyBorder="1" applyProtection="1">
      <protection hidden="1"/>
    </xf>
    <xf numFmtId="1" fontId="184" fillId="0" borderId="241" xfId="58" applyNumberFormat="1" applyFont="1" applyFill="1" applyBorder="1" applyAlignment="1" applyProtection="1">
      <protection hidden="1"/>
    </xf>
    <xf numFmtId="0" fontId="184" fillId="0" borderId="242" xfId="63" applyFont="1" applyFill="1" applyBorder="1" applyProtection="1">
      <protection hidden="1"/>
    </xf>
    <xf numFmtId="0" fontId="3" fillId="51" borderId="172" xfId="0" applyFont="1" applyFill="1" applyBorder="1" applyAlignment="1" applyProtection="1">
      <alignment horizontal="center"/>
      <protection hidden="1"/>
    </xf>
    <xf numFmtId="1" fontId="47" fillId="53" borderId="16" xfId="0" applyNumberFormat="1" applyFont="1" applyFill="1" applyBorder="1" applyAlignment="1" applyProtection="1">
      <alignment horizontal="center"/>
      <protection hidden="1"/>
    </xf>
    <xf numFmtId="164" fontId="47" fillId="53" borderId="179" xfId="67" applyNumberFormat="1" applyFont="1" applyFill="1" applyBorder="1" applyAlignment="1" applyProtection="1">
      <alignment horizontal="center"/>
      <protection hidden="1"/>
    </xf>
    <xf numFmtId="0" fontId="10" fillId="35" borderId="0" xfId="66" applyFont="1" applyFill="1" applyBorder="1" applyAlignment="1" applyProtection="1">
      <alignment horizontal="center"/>
      <protection hidden="1"/>
    </xf>
    <xf numFmtId="0" fontId="10" fillId="35" borderId="0" xfId="66" applyFont="1" applyFill="1" applyProtection="1">
      <protection hidden="1"/>
    </xf>
    <xf numFmtId="0" fontId="60" fillId="53" borderId="0" xfId="108" applyFont="1" applyFill="1" applyAlignment="1" applyProtection="1">
      <alignment horizontal="center" vertical="center"/>
      <protection hidden="1"/>
    </xf>
    <xf numFmtId="0" fontId="3" fillId="0" borderId="51" xfId="76" applyFont="1" applyFill="1" applyBorder="1" applyAlignment="1" applyProtection="1">
      <alignment horizontal="right"/>
      <protection hidden="1"/>
    </xf>
    <xf numFmtId="0" fontId="3" fillId="0" borderId="52" xfId="76" applyFont="1" applyFill="1" applyBorder="1" applyAlignment="1" applyProtection="1">
      <alignment horizontal="right"/>
      <protection hidden="1"/>
    </xf>
    <xf numFmtId="0" fontId="13" fillId="0" borderId="90" xfId="76" applyFont="1" applyFill="1" applyBorder="1" applyAlignment="1" applyProtection="1">
      <alignment horizontal="right"/>
      <protection hidden="1"/>
    </xf>
    <xf numFmtId="0" fontId="13" fillId="0" borderId="15" xfId="76" applyFont="1" applyFill="1" applyBorder="1" applyAlignment="1" applyProtection="1">
      <alignment horizontal="right"/>
      <protection hidden="1"/>
    </xf>
    <xf numFmtId="0" fontId="3" fillId="0" borderId="0" xfId="76" applyFont="1" applyFill="1" applyBorder="1" applyAlignment="1" applyProtection="1">
      <alignment horizontal="right"/>
      <protection hidden="1"/>
    </xf>
    <xf numFmtId="0" fontId="3" fillId="0" borderId="0" xfId="86" applyFont="1" applyBorder="1" applyAlignment="1" applyProtection="1">
      <alignment horizontal="right"/>
      <protection hidden="1"/>
    </xf>
    <xf numFmtId="0" fontId="3" fillId="35" borderId="10" xfId="81" applyFont="1" applyFill="1" applyBorder="1" applyAlignment="1" applyProtection="1">
      <alignment horizontal="right"/>
      <protection hidden="1"/>
    </xf>
    <xf numFmtId="0" fontId="3" fillId="35" borderId="20" xfId="81" applyFont="1" applyFill="1" applyBorder="1" applyAlignment="1" applyProtection="1">
      <alignment horizontal="right"/>
      <protection hidden="1"/>
    </xf>
    <xf numFmtId="0" fontId="3" fillId="0" borderId="181" xfId="81" applyFont="1" applyBorder="1" applyAlignment="1" applyProtection="1">
      <alignment horizontal="left"/>
      <protection locked="0"/>
    </xf>
    <xf numFmtId="0" fontId="3" fillId="0" borderId="180" xfId="81" applyFont="1" applyBorder="1" applyAlignment="1" applyProtection="1">
      <protection locked="0"/>
    </xf>
    <xf numFmtId="0" fontId="3" fillId="0" borderId="222" xfId="81" applyFont="1" applyBorder="1" applyAlignment="1" applyProtection="1">
      <alignment horizontal="left"/>
      <protection locked="0"/>
    </xf>
    <xf numFmtId="0" fontId="3" fillId="0" borderId="223" xfId="81" applyFont="1" applyBorder="1" applyAlignment="1" applyProtection="1">
      <protection locked="0"/>
    </xf>
    <xf numFmtId="0" fontId="3" fillId="0" borderId="223" xfId="81" applyFont="1" applyBorder="1" applyAlignment="1" applyProtection="1">
      <alignment horizontal="left"/>
      <protection locked="0"/>
    </xf>
    <xf numFmtId="0" fontId="3" fillId="0" borderId="222" xfId="81" applyFont="1" applyFill="1" applyBorder="1" applyAlignment="1" applyProtection="1">
      <alignment horizontal="left"/>
      <protection locked="0"/>
    </xf>
    <xf numFmtId="0" fontId="20" fillId="0" borderId="222" xfId="81" applyFont="1" applyBorder="1" applyAlignment="1" applyProtection="1">
      <alignment horizontal="left"/>
      <protection locked="0"/>
    </xf>
    <xf numFmtId="0" fontId="3" fillId="0" borderId="222" xfId="81" applyFont="1" applyFill="1" applyBorder="1" applyAlignment="1" applyProtection="1">
      <alignment horizontal="center"/>
      <protection locked="0"/>
    </xf>
    <xf numFmtId="0" fontId="3" fillId="0" borderId="222" xfId="75" applyFont="1" applyBorder="1" applyAlignment="1" applyProtection="1">
      <protection locked="0"/>
    </xf>
    <xf numFmtId="0" fontId="3" fillId="0" borderId="223" xfId="81" applyFont="1" applyFill="1" applyBorder="1" applyAlignment="1" applyProtection="1">
      <alignment horizontal="left"/>
      <protection locked="0"/>
    </xf>
    <xf numFmtId="0" fontId="3" fillId="0" borderId="223" xfId="81" applyFont="1" applyFill="1" applyBorder="1" applyAlignment="1" applyProtection="1">
      <alignment horizontal="right"/>
      <protection locked="0"/>
    </xf>
    <xf numFmtId="0" fontId="3" fillId="0" borderId="182" xfId="81" applyFont="1" applyFill="1" applyBorder="1" applyAlignment="1" applyProtection="1">
      <alignment horizontal="left"/>
      <protection locked="0"/>
    </xf>
    <xf numFmtId="0" fontId="3" fillId="0" borderId="221" xfId="81" applyFont="1" applyFill="1" applyBorder="1" applyAlignment="1" applyProtection="1">
      <protection locked="0"/>
    </xf>
    <xf numFmtId="164" fontId="3" fillId="35" borderId="10" xfId="81" applyNumberFormat="1" applyFont="1" applyFill="1" applyBorder="1" applyAlignment="1" applyProtection="1">
      <alignment horizontal="right"/>
      <protection hidden="1"/>
    </xf>
    <xf numFmtId="0" fontId="3" fillId="35" borderId="11" xfId="81" applyFont="1" applyFill="1" applyBorder="1" applyAlignment="1" applyProtection="1">
      <alignment horizontal="right"/>
      <protection hidden="1"/>
    </xf>
    <xf numFmtId="0" fontId="3" fillId="35" borderId="24" xfId="81" applyFont="1" applyFill="1" applyBorder="1" applyAlignment="1" applyProtection="1">
      <alignment horizontal="right"/>
      <protection hidden="1"/>
    </xf>
    <xf numFmtId="0" fontId="3" fillId="35" borderId="18" xfId="81" applyFont="1" applyFill="1" applyBorder="1" applyAlignment="1" applyProtection="1">
      <alignment horizontal="right"/>
      <protection hidden="1"/>
    </xf>
    <xf numFmtId="0" fontId="58" fillId="35" borderId="18" xfId="81" applyFont="1" applyFill="1" applyBorder="1" applyAlignment="1" applyProtection="1">
      <alignment horizontal="right"/>
      <protection hidden="1"/>
    </xf>
    <xf numFmtId="1" fontId="3" fillId="35" borderId="18" xfId="81" applyNumberFormat="1" applyFont="1" applyFill="1" applyBorder="1" applyAlignment="1" applyProtection="1">
      <alignment horizontal="right"/>
      <protection hidden="1"/>
    </xf>
    <xf numFmtId="0" fontId="3" fillId="35" borderId="53" xfId="80" applyFont="1" applyFill="1" applyBorder="1" applyAlignment="1" applyProtection="1">
      <alignment horizontal="right"/>
      <protection hidden="1"/>
    </xf>
    <xf numFmtId="0" fontId="3" fillId="35" borderId="54" xfId="80" applyFont="1" applyFill="1" applyBorder="1" applyAlignment="1" applyProtection="1">
      <alignment horizontal="right"/>
      <protection hidden="1"/>
    </xf>
    <xf numFmtId="0" fontId="3" fillId="35" borderId="12" xfId="81" applyFont="1" applyFill="1" applyBorder="1" applyAlignment="1" applyProtection="1">
      <alignment horizontal="right"/>
      <protection hidden="1"/>
    </xf>
    <xf numFmtId="0" fontId="3" fillId="35" borderId="23" xfId="81" applyFont="1" applyFill="1" applyBorder="1" applyAlignment="1" applyProtection="1">
      <alignment horizontal="right"/>
      <protection hidden="1"/>
    </xf>
    <xf numFmtId="0" fontId="3" fillId="35" borderId="14" xfId="81" applyFont="1" applyFill="1" applyBorder="1" applyAlignment="1" applyProtection="1">
      <alignment horizontal="right"/>
      <protection hidden="1"/>
    </xf>
    <xf numFmtId="0" fontId="58" fillId="35" borderId="14" xfId="81" applyFont="1" applyFill="1" applyBorder="1" applyAlignment="1" applyProtection="1">
      <alignment horizontal="right"/>
      <protection hidden="1"/>
    </xf>
    <xf numFmtId="1" fontId="3" fillId="35" borderId="14" xfId="81" applyNumberFormat="1" applyFont="1" applyFill="1" applyBorder="1" applyAlignment="1" applyProtection="1">
      <alignment horizontal="right"/>
      <protection hidden="1"/>
    </xf>
    <xf numFmtId="0" fontId="130" fillId="0" borderId="0" xfId="81" applyAlignment="1" applyProtection="1">
      <protection hidden="1"/>
    </xf>
    <xf numFmtId="0" fontId="13" fillId="72" borderId="0" xfId="86" applyFont="1" applyFill="1" applyBorder="1" applyAlignment="1" applyProtection="1">
      <protection locked="0"/>
    </xf>
    <xf numFmtId="164" fontId="13" fillId="72" borderId="0" xfId="76" applyNumberFormat="1" applyFont="1" applyFill="1" applyBorder="1" applyAlignment="1" applyProtection="1">
      <protection locked="0"/>
    </xf>
    <xf numFmtId="1" fontId="33" fillId="51" borderId="13" xfId="76" applyNumberFormat="1" applyFont="1" applyFill="1" applyBorder="1" applyAlignment="1" applyProtection="1">
      <protection hidden="1"/>
    </xf>
    <xf numFmtId="0" fontId="141" fillId="51" borderId="0" xfId="0" applyFont="1" applyFill="1" applyProtection="1">
      <protection hidden="1"/>
    </xf>
    <xf numFmtId="0" fontId="47" fillId="45" borderId="0" xfId="0" applyFont="1" applyFill="1" applyAlignment="1" applyProtection="1">
      <alignment horizontal="right"/>
      <protection hidden="1"/>
    </xf>
    <xf numFmtId="0" fontId="184" fillId="0" borderId="11" xfId="0" applyFont="1" applyBorder="1" applyAlignment="1" applyProtection="1">
      <alignment horizontal="center"/>
      <protection hidden="1"/>
    </xf>
    <xf numFmtId="0" fontId="0" fillId="51" borderId="200" xfId="0" applyFill="1" applyBorder="1" applyProtection="1">
      <protection hidden="1"/>
    </xf>
    <xf numFmtId="0" fontId="85" fillId="0" borderId="0" xfId="0" applyFont="1" applyFill="1" applyProtection="1">
      <protection hidden="1"/>
    </xf>
    <xf numFmtId="0" fontId="47" fillId="51" borderId="83" xfId="0" applyFont="1" applyFill="1" applyBorder="1" applyAlignment="1" applyProtection="1">
      <alignment horizontal="right"/>
      <protection hidden="1"/>
    </xf>
    <xf numFmtId="0" fontId="47" fillId="0" borderId="0" xfId="63" applyFont="1" applyFill="1" applyProtection="1">
      <protection hidden="1"/>
    </xf>
    <xf numFmtId="0" fontId="3" fillId="51" borderId="60" xfId="0" applyFont="1" applyFill="1" applyBorder="1" applyAlignment="1" applyProtection="1">
      <protection hidden="1"/>
    </xf>
    <xf numFmtId="0" fontId="85" fillId="0" borderId="60" xfId="0" applyFont="1" applyBorder="1" applyProtection="1">
      <protection hidden="1"/>
    </xf>
    <xf numFmtId="165" fontId="3" fillId="0" borderId="65" xfId="69" applyNumberFormat="1" applyFont="1" applyBorder="1" applyProtection="1">
      <protection hidden="1"/>
    </xf>
    <xf numFmtId="165" fontId="3" fillId="0" borderId="204" xfId="69" applyNumberFormat="1" applyFont="1" applyBorder="1" applyProtection="1">
      <protection hidden="1"/>
    </xf>
    <xf numFmtId="0" fontId="85" fillId="0" borderId="208" xfId="0" applyFont="1" applyBorder="1" applyProtection="1">
      <protection hidden="1"/>
    </xf>
    <xf numFmtId="2" fontId="85" fillId="51" borderId="0" xfId="0" applyNumberFormat="1" applyFont="1" applyFill="1" applyProtection="1">
      <protection hidden="1"/>
    </xf>
    <xf numFmtId="0" fontId="85" fillId="45" borderId="0" xfId="0" applyFont="1" applyFill="1" applyAlignment="1" applyProtection="1">
      <alignment horizontal="center"/>
      <protection hidden="1"/>
    </xf>
    <xf numFmtId="0" fontId="0" fillId="51" borderId="15" xfId="0" applyFill="1" applyBorder="1" applyAlignment="1" applyProtection="1">
      <protection hidden="1"/>
    </xf>
    <xf numFmtId="0" fontId="86" fillId="35" borderId="0" xfId="90" applyFont="1" applyFill="1" applyBorder="1" applyProtection="1">
      <protection locked="0"/>
    </xf>
    <xf numFmtId="0" fontId="3" fillId="35" borderId="0" xfId="90" applyFill="1" applyBorder="1" applyAlignment="1" applyProtection="1">
      <alignment horizontal="center"/>
      <protection locked="0"/>
    </xf>
    <xf numFmtId="1" fontId="3" fillId="35" borderId="0" xfId="90" applyNumberFormat="1" applyFill="1" applyBorder="1" applyProtection="1">
      <protection locked="0"/>
    </xf>
    <xf numFmtId="49" fontId="3" fillId="35" borderId="0" xfId="90" applyNumberFormat="1" applyFill="1" applyBorder="1" applyProtection="1">
      <protection locked="0"/>
    </xf>
    <xf numFmtId="0" fontId="1" fillId="35" borderId="0" xfId="69" applyFill="1" applyBorder="1" applyProtection="1">
      <protection locked="0"/>
    </xf>
    <xf numFmtId="0" fontId="1" fillId="51" borderId="0" xfId="69" applyFill="1" applyProtection="1">
      <protection locked="0"/>
    </xf>
    <xf numFmtId="0" fontId="3" fillId="35" borderId="172" xfId="90" applyFont="1" applyFill="1" applyBorder="1" applyAlignment="1" applyProtection="1">
      <alignment horizontal="left" vertical="center"/>
      <protection locked="0"/>
    </xf>
    <xf numFmtId="0" fontId="3" fillId="35" borderId="138" xfId="90" applyFont="1" applyFill="1" applyBorder="1" applyAlignment="1" applyProtection="1">
      <alignment horizontal="left" vertical="center"/>
      <protection locked="0"/>
    </xf>
    <xf numFmtId="0" fontId="3" fillId="35" borderId="172" xfId="90" applyFont="1" applyFill="1" applyBorder="1" applyAlignment="1" applyProtection="1">
      <alignment horizontal="center" vertical="center" wrapText="1"/>
      <protection locked="0"/>
    </xf>
    <xf numFmtId="49" fontId="3" fillId="35" borderId="168" xfId="90" applyNumberFormat="1" applyFont="1" applyFill="1" applyBorder="1" applyAlignment="1" applyProtection="1">
      <alignment horizontal="center" vertical="center"/>
      <protection locked="0"/>
    </xf>
    <xf numFmtId="49" fontId="11" fillId="35" borderId="172" xfId="69" applyNumberFormat="1" applyFont="1" applyFill="1" applyBorder="1" applyAlignment="1" applyProtection="1">
      <alignment horizontal="center" vertical="center" wrapText="1"/>
      <protection locked="0"/>
    </xf>
    <xf numFmtId="0" fontId="3" fillId="35" borderId="16" xfId="90" applyFont="1" applyFill="1" applyBorder="1" applyAlignment="1" applyProtection="1">
      <alignment horizontal="center" vertical="center"/>
      <protection locked="0"/>
    </xf>
    <xf numFmtId="0" fontId="3" fillId="35" borderId="0" xfId="90" applyFont="1" applyFill="1" applyBorder="1" applyAlignment="1" applyProtection="1">
      <alignment horizontal="center" vertical="center"/>
      <protection locked="0"/>
    </xf>
    <xf numFmtId="0" fontId="3" fillId="35" borderId="16" xfId="90" applyFont="1" applyFill="1" applyBorder="1" applyAlignment="1" applyProtection="1">
      <alignment horizontal="center" vertical="center" wrapText="1"/>
      <protection locked="0"/>
    </xf>
    <xf numFmtId="49" fontId="3" fillId="35" borderId="15" xfId="90" applyNumberFormat="1" applyFont="1" applyFill="1" applyBorder="1" applyAlignment="1" applyProtection="1">
      <alignment horizontal="center" vertical="center"/>
      <protection locked="0"/>
    </xf>
    <xf numFmtId="49" fontId="11" fillId="35" borderId="16" xfId="69" applyNumberFormat="1" applyFont="1" applyFill="1" applyBorder="1" applyAlignment="1" applyProtection="1">
      <alignment horizontal="center" vertical="center" wrapText="1"/>
      <protection locked="0"/>
    </xf>
    <xf numFmtId="0" fontId="3" fillId="35" borderId="179" xfId="90" applyFont="1" applyFill="1" applyBorder="1" applyAlignment="1" applyProtection="1">
      <alignment horizontal="center" vertical="center"/>
      <protection locked="0"/>
    </xf>
    <xf numFmtId="0" fontId="3" fillId="35" borderId="96" xfId="90" applyFont="1" applyFill="1" applyBorder="1" applyAlignment="1" applyProtection="1">
      <alignment horizontal="center" vertical="center"/>
      <protection locked="0"/>
    </xf>
    <xf numFmtId="49" fontId="3" fillId="35" borderId="176" xfId="90" applyNumberFormat="1" applyFont="1" applyFill="1" applyBorder="1" applyAlignment="1" applyProtection="1">
      <alignment horizontal="center" vertical="center"/>
      <protection locked="0"/>
    </xf>
    <xf numFmtId="169" fontId="57" fillId="35" borderId="96" xfId="69" applyNumberFormat="1" applyFont="1" applyFill="1" applyBorder="1" applyAlignment="1" applyProtection="1">
      <alignment horizontal="center" vertical="center" wrapText="1"/>
      <protection locked="0"/>
    </xf>
    <xf numFmtId="169" fontId="57" fillId="35" borderId="179" xfId="69" applyNumberFormat="1" applyFont="1" applyFill="1" applyBorder="1" applyAlignment="1" applyProtection="1">
      <alignment horizontal="center" vertical="center" wrapText="1"/>
      <protection locked="0"/>
    </xf>
    <xf numFmtId="169" fontId="57" fillId="35" borderId="175" xfId="69" applyNumberFormat="1" applyFont="1" applyFill="1" applyBorder="1" applyAlignment="1" applyProtection="1">
      <alignment horizontal="center" vertical="center" wrapText="1"/>
      <protection locked="0"/>
    </xf>
    <xf numFmtId="49" fontId="11" fillId="35" borderId="179" xfId="69" applyNumberFormat="1" applyFont="1" applyFill="1" applyBorder="1" applyAlignment="1" applyProtection="1">
      <alignment horizontal="center" vertical="center" wrapText="1"/>
      <protection locked="0"/>
    </xf>
    <xf numFmtId="165" fontId="3" fillId="0" borderId="17" xfId="0" applyNumberFormat="1" applyFont="1" applyBorder="1" applyAlignment="1" applyProtection="1">
      <alignment horizontal="center"/>
      <protection hidden="1"/>
    </xf>
    <xf numFmtId="0" fontId="11" fillId="0" borderId="0" xfId="69" applyFont="1" applyFill="1" applyBorder="1" applyAlignment="1" applyProtection="1">
      <alignment horizontal="left"/>
      <protection hidden="1"/>
    </xf>
    <xf numFmtId="0" fontId="11" fillId="0" borderId="0" xfId="66" applyFont="1" applyFill="1" applyBorder="1" applyAlignment="1" applyProtection="1">
      <alignment horizontal="left"/>
      <protection hidden="1"/>
    </xf>
    <xf numFmtId="0" fontId="3" fillId="51" borderId="0" xfId="76" applyFont="1" applyFill="1" applyProtection="1">
      <protection hidden="1"/>
    </xf>
    <xf numFmtId="0" fontId="3" fillId="41" borderId="12" xfId="59" applyFont="1" applyFill="1" applyBorder="1" applyAlignment="1" applyProtection="1">
      <alignment horizontal="center"/>
      <protection locked="0"/>
    </xf>
    <xf numFmtId="1" fontId="3" fillId="41" borderId="12" xfId="59" applyNumberFormat="1" applyFont="1" applyFill="1" applyBorder="1" applyAlignment="1" applyProtection="1">
      <alignment horizontal="center"/>
      <protection locked="0"/>
    </xf>
    <xf numFmtId="1" fontId="3" fillId="75" borderId="17" xfId="0" applyNumberFormat="1" applyFont="1" applyFill="1" applyBorder="1" applyAlignment="1" applyProtection="1">
      <alignment horizontal="center"/>
      <protection locked="0"/>
    </xf>
    <xf numFmtId="0" fontId="3" fillId="41" borderId="0" xfId="76" applyFont="1" applyFill="1" applyProtection="1">
      <protection locked="0"/>
    </xf>
    <xf numFmtId="0" fontId="3" fillId="41" borderId="0" xfId="76" applyFont="1" applyFill="1" applyBorder="1" applyAlignment="1" applyProtection="1">
      <alignment vertical="center"/>
      <protection locked="0"/>
    </xf>
    <xf numFmtId="0" fontId="35" fillId="41" borderId="0" xfId="86" applyFont="1" applyFill="1" applyBorder="1" applyAlignment="1" applyProtection="1">
      <alignment horizontal="right"/>
      <protection locked="0"/>
    </xf>
    <xf numFmtId="167" fontId="3" fillId="41" borderId="0" xfId="70" applyNumberFormat="1" applyFont="1" applyFill="1" applyAlignment="1" applyProtection="1">
      <alignment horizontal="center" wrapText="1"/>
      <protection locked="0"/>
    </xf>
    <xf numFmtId="0" fontId="3" fillId="41" borderId="17" xfId="0" applyFont="1" applyFill="1" applyBorder="1" applyAlignment="1" applyProtection="1">
      <alignment horizontal="center"/>
      <protection locked="0"/>
    </xf>
    <xf numFmtId="0" fontId="87" fillId="7" borderId="0" xfId="76" applyFont="1" applyFill="1" applyBorder="1" applyProtection="1">
      <protection locked="0"/>
    </xf>
    <xf numFmtId="0" fontId="3" fillId="7" borderId="0" xfId="86" applyFont="1" applyFill="1" applyAlignment="1" applyProtection="1">
      <protection locked="0"/>
    </xf>
    <xf numFmtId="0" fontId="40" fillId="7" borderId="0" xfId="86" applyFont="1" applyFill="1" applyAlignment="1" applyProtection="1">
      <protection locked="0"/>
    </xf>
    <xf numFmtId="9" fontId="168" fillId="51" borderId="13" xfId="76" applyNumberFormat="1" applyFont="1" applyFill="1" applyBorder="1" applyProtection="1">
      <protection hidden="1"/>
    </xf>
    <xf numFmtId="9" fontId="3" fillId="7" borderId="13" xfId="76" applyNumberFormat="1" applyFont="1" applyFill="1" applyBorder="1" applyProtection="1">
      <protection locked="0"/>
    </xf>
    <xf numFmtId="0" fontId="3" fillId="55" borderId="125" xfId="0" applyNumberFormat="1" applyFont="1" applyFill="1" applyBorder="1" applyAlignment="1" applyProtection="1">
      <alignment horizontal="center"/>
      <protection locked="0"/>
    </xf>
    <xf numFmtId="0" fontId="3" fillId="55" borderId="12" xfId="0" applyNumberFormat="1" applyFont="1" applyFill="1" applyBorder="1" applyAlignment="1" applyProtection="1">
      <alignment horizontal="center"/>
      <protection locked="0"/>
    </xf>
    <xf numFmtId="0" fontId="47" fillId="44" borderId="12" xfId="0" applyFont="1" applyFill="1" applyBorder="1" applyAlignment="1" applyProtection="1">
      <alignment horizontal="center"/>
      <protection locked="0"/>
    </xf>
    <xf numFmtId="0" fontId="47" fillId="44" borderId="41" xfId="0" applyFont="1" applyFill="1" applyBorder="1" applyAlignment="1" applyProtection="1">
      <alignment horizontal="center"/>
      <protection locked="0"/>
    </xf>
    <xf numFmtId="0" fontId="47" fillId="44" borderId="42" xfId="0" applyFont="1" applyFill="1" applyBorder="1" applyAlignment="1" applyProtection="1">
      <alignment horizontal="center"/>
      <protection locked="0"/>
    </xf>
    <xf numFmtId="0" fontId="47" fillId="44" borderId="43" xfId="0" applyFont="1" applyFill="1" applyBorder="1" applyAlignment="1" applyProtection="1">
      <alignment horizontal="center"/>
      <protection locked="0"/>
    </xf>
    <xf numFmtId="0" fontId="47" fillId="37" borderId="165" xfId="67" applyFont="1" applyFill="1" applyBorder="1" applyAlignment="1" applyProtection="1">
      <alignment horizontal="center" wrapText="1"/>
      <protection locked="0"/>
    </xf>
    <xf numFmtId="2" fontId="267" fillId="75" borderId="217" xfId="66" applyNumberFormat="1" applyFont="1" applyFill="1" applyBorder="1" applyAlignment="1" applyProtection="1">
      <protection locked="0"/>
    </xf>
    <xf numFmtId="2" fontId="271" fillId="71" borderId="217" xfId="66" applyNumberFormat="1" applyFont="1" applyFill="1" applyBorder="1" applyAlignment="1" applyProtection="1">
      <protection locked="0"/>
    </xf>
    <xf numFmtId="2" fontId="245" fillId="41" borderId="217" xfId="66" applyNumberFormat="1" applyFont="1" applyFill="1" applyBorder="1" applyAlignment="1" applyProtection="1">
      <protection locked="0"/>
    </xf>
    <xf numFmtId="0" fontId="267" fillId="75" borderId="214" xfId="66" applyFont="1" applyFill="1" applyBorder="1" applyAlignment="1" applyProtection="1">
      <protection locked="0"/>
    </xf>
    <xf numFmtId="0" fontId="3" fillId="75" borderId="215" xfId="66" applyFont="1" applyFill="1" applyBorder="1" applyAlignment="1" applyProtection="1">
      <protection locked="0"/>
    </xf>
    <xf numFmtId="0" fontId="3" fillId="75" borderId="119" xfId="66" applyFont="1" applyFill="1" applyBorder="1" applyAlignment="1" applyProtection="1">
      <protection locked="0"/>
    </xf>
    <xf numFmtId="1" fontId="271" fillId="71" borderId="214" xfId="66" applyNumberFormat="1" applyFont="1" applyFill="1" applyBorder="1" applyAlignment="1" applyProtection="1">
      <protection locked="0"/>
    </xf>
    <xf numFmtId="1" fontId="3" fillId="71" borderId="119" xfId="66" applyNumberFormat="1" applyFont="1" applyFill="1" applyBorder="1" applyAlignment="1" applyProtection="1">
      <protection locked="0"/>
    </xf>
    <xf numFmtId="1" fontId="245" fillId="75" borderId="214" xfId="66" applyNumberFormat="1" applyFont="1" applyFill="1" applyBorder="1" applyAlignment="1" applyProtection="1">
      <protection locked="0"/>
    </xf>
    <xf numFmtId="1" fontId="3" fillId="75" borderId="119" xfId="66" applyNumberFormat="1" applyFont="1" applyFill="1" applyBorder="1" applyAlignment="1" applyProtection="1">
      <protection locked="0"/>
    </xf>
    <xf numFmtId="1" fontId="3" fillId="75" borderId="217" xfId="66" applyNumberFormat="1" applyFont="1" applyFill="1" applyBorder="1" applyAlignment="1" applyProtection="1">
      <protection locked="0"/>
    </xf>
    <xf numFmtId="0" fontId="3" fillId="75" borderId="10" xfId="67" applyFont="1" applyFill="1" applyBorder="1" applyProtection="1">
      <protection locked="0"/>
    </xf>
    <xf numFmtId="0" fontId="3" fillId="75" borderId="24" xfId="67" applyFont="1" applyFill="1" applyBorder="1" applyAlignment="1" applyProtection="1">
      <alignment horizontal="left"/>
      <protection locked="0"/>
    </xf>
    <xf numFmtId="0" fontId="3" fillId="37" borderId="10" xfId="67" applyFont="1" applyFill="1" applyBorder="1" applyProtection="1">
      <protection locked="0"/>
    </xf>
    <xf numFmtId="0" fontId="3" fillId="37" borderId="24" xfId="67" applyFont="1" applyFill="1" applyBorder="1" applyAlignment="1" applyProtection="1">
      <alignment horizontal="left"/>
      <protection locked="0"/>
    </xf>
    <xf numFmtId="2" fontId="3" fillId="35" borderId="175" xfId="66" applyNumberFormat="1" applyFont="1" applyFill="1" applyBorder="1" applyAlignment="1" applyProtection="1">
      <alignment horizontal="left"/>
      <protection hidden="1"/>
    </xf>
    <xf numFmtId="164" fontId="3" fillId="35" borderId="96" xfId="66" applyNumberFormat="1" applyFont="1" applyFill="1" applyBorder="1" applyAlignment="1" applyProtection="1">
      <protection hidden="1"/>
    </xf>
    <xf numFmtId="0" fontId="184" fillId="37" borderId="179" xfId="0" applyFont="1" applyFill="1" applyBorder="1" applyAlignment="1" applyProtection="1">
      <alignment horizontal="center"/>
      <protection locked="0"/>
    </xf>
    <xf numFmtId="0" fontId="5" fillId="35" borderId="169" xfId="0" applyFont="1" applyFill="1" applyBorder="1" applyAlignment="1" applyProtection="1">
      <protection hidden="1"/>
    </xf>
    <xf numFmtId="0" fontId="5" fillId="35" borderId="170" xfId="0" applyFont="1" applyFill="1" applyBorder="1" applyAlignment="1" applyProtection="1">
      <protection hidden="1"/>
    </xf>
    <xf numFmtId="164" fontId="16" fillId="35" borderId="184" xfId="46" applyNumberFormat="1" applyFont="1" applyFill="1" applyBorder="1" applyAlignment="1" applyProtection="1">
      <protection hidden="1"/>
    </xf>
    <xf numFmtId="0" fontId="3" fillId="35" borderId="175" xfId="66" applyFont="1" applyFill="1" applyBorder="1" applyAlignment="1" applyProtection="1">
      <alignment horizontal="left"/>
      <protection hidden="1"/>
    </xf>
    <xf numFmtId="164" fontId="96" fillId="51" borderId="235" xfId="84" applyNumberFormat="1" applyFont="1" applyFill="1" applyBorder="1" applyAlignment="1" applyProtection="1">
      <protection hidden="1"/>
    </xf>
    <xf numFmtId="0" fontId="3" fillId="35" borderId="183" xfId="0" applyFont="1" applyFill="1" applyBorder="1" applyAlignment="1" applyProtection="1">
      <protection hidden="1"/>
    </xf>
    <xf numFmtId="164" fontId="52" fillId="35" borderId="184" xfId="46" applyNumberFormat="1" applyFont="1" applyFill="1" applyBorder="1" applyAlignment="1" applyProtection="1">
      <protection hidden="1"/>
    </xf>
    <xf numFmtId="0" fontId="3" fillId="35" borderId="184" xfId="69" applyFont="1" applyFill="1" applyBorder="1" applyAlignment="1" applyProtection="1">
      <protection hidden="1"/>
    </xf>
    <xf numFmtId="164" fontId="96" fillId="35" borderId="187" xfId="0" applyNumberFormat="1" applyFont="1" applyFill="1" applyBorder="1" applyAlignment="1" applyProtection="1">
      <protection hidden="1"/>
    </xf>
    <xf numFmtId="0" fontId="184" fillId="51" borderId="243" xfId="0" applyFont="1" applyFill="1" applyBorder="1" applyProtection="1">
      <protection hidden="1"/>
    </xf>
    <xf numFmtId="0" fontId="1" fillId="51" borderId="244" xfId="69" applyFill="1" applyBorder="1" applyProtection="1">
      <protection hidden="1"/>
    </xf>
    <xf numFmtId="0" fontId="1" fillId="51" borderId="245" xfId="69" applyFill="1" applyBorder="1" applyProtection="1">
      <protection hidden="1"/>
    </xf>
    <xf numFmtId="0" fontId="47" fillId="35" borderId="96" xfId="0" applyFont="1" applyFill="1" applyBorder="1" applyAlignment="1" applyProtection="1">
      <alignment horizontal="right"/>
      <protection hidden="1"/>
    </xf>
    <xf numFmtId="0" fontId="85" fillId="42" borderId="247" xfId="0" applyFont="1" applyFill="1" applyBorder="1" applyAlignment="1" applyProtection="1">
      <protection hidden="1"/>
    </xf>
    <xf numFmtId="0" fontId="52" fillId="35" borderId="247" xfId="46" applyFont="1" applyFill="1" applyBorder="1" applyAlignment="1" applyProtection="1">
      <protection hidden="1"/>
    </xf>
    <xf numFmtId="0" fontId="27" fillId="42" borderId="184" xfId="0" applyFont="1" applyFill="1" applyBorder="1" applyAlignment="1" applyProtection="1">
      <protection hidden="1"/>
    </xf>
    <xf numFmtId="0" fontId="52" fillId="35" borderId="184" xfId="46" applyFont="1" applyFill="1" applyBorder="1" applyAlignment="1" applyProtection="1">
      <protection hidden="1"/>
    </xf>
    <xf numFmtId="0" fontId="292" fillId="0" borderId="60" xfId="67" applyFont="1" applyFill="1" applyBorder="1" applyAlignment="1" applyProtection="1">
      <alignment horizontal="right"/>
      <protection hidden="1"/>
    </xf>
    <xf numFmtId="0" fontId="293" fillId="42" borderId="0" xfId="0" applyFont="1" applyFill="1" applyProtection="1">
      <protection hidden="1"/>
    </xf>
    <xf numFmtId="0" fontId="293" fillId="43" borderId="0" xfId="0" applyFont="1" applyFill="1" applyProtection="1">
      <protection hidden="1"/>
    </xf>
    <xf numFmtId="0" fontId="293" fillId="35" borderId="0" xfId="67" applyFont="1" applyFill="1" applyProtection="1">
      <protection hidden="1"/>
    </xf>
    <xf numFmtId="0" fontId="297" fillId="42" borderId="0" xfId="67" applyFont="1" applyFill="1" applyAlignment="1" applyProtection="1">
      <protection hidden="1"/>
    </xf>
    <xf numFmtId="0" fontId="297" fillId="42" borderId="0" xfId="0" applyFont="1" applyFill="1" applyAlignment="1" applyProtection="1">
      <alignment horizontal="center"/>
      <protection hidden="1"/>
    </xf>
    <xf numFmtId="0" fontId="295" fillId="42" borderId="0" xfId="67" applyFont="1" applyFill="1" applyProtection="1">
      <protection hidden="1"/>
    </xf>
    <xf numFmtId="0" fontId="295" fillId="42" borderId="0" xfId="63" applyFont="1" applyFill="1" applyAlignment="1" applyProtection="1">
      <alignment horizontal="center"/>
      <protection hidden="1"/>
    </xf>
    <xf numFmtId="0" fontId="295" fillId="0" borderId="0" xfId="63" applyFont="1" applyProtection="1">
      <protection hidden="1"/>
    </xf>
    <xf numFmtId="0" fontId="293" fillId="0" borderId="0" xfId="0" applyFont="1"/>
    <xf numFmtId="0" fontId="256" fillId="35" borderId="0" xfId="89" applyNumberFormat="1" applyFont="1" applyFill="1" applyProtection="1">
      <protection hidden="1"/>
    </xf>
    <xf numFmtId="0" fontId="295" fillId="35" borderId="0" xfId="86" applyFont="1" applyFill="1" applyAlignment="1" applyProtection="1">
      <alignment horizontal="centerContinuous"/>
      <protection hidden="1"/>
    </xf>
    <xf numFmtId="0" fontId="296" fillId="53" borderId="0" xfId="107" applyFont="1" applyFill="1" applyAlignment="1" applyProtection="1">
      <protection hidden="1"/>
    </xf>
    <xf numFmtId="0" fontId="296" fillId="53" borderId="0" xfId="107" applyFont="1" applyFill="1" applyAlignment="1" applyProtection="1">
      <alignment horizontal="left" vertical="top"/>
      <protection hidden="1"/>
    </xf>
    <xf numFmtId="0" fontId="298" fillId="37" borderId="193" xfId="66" applyFont="1" applyFill="1" applyBorder="1" applyAlignment="1" applyProtection="1">
      <alignment horizontal="right"/>
      <protection hidden="1"/>
    </xf>
    <xf numFmtId="0" fontId="255" fillId="41" borderId="193" xfId="66" applyFont="1" applyFill="1" applyBorder="1" applyAlignment="1" applyProtection="1">
      <protection hidden="1"/>
    </xf>
    <xf numFmtId="0" fontId="302" fillId="51" borderId="0" xfId="107" applyFont="1" applyFill="1" applyProtection="1">
      <protection hidden="1"/>
    </xf>
    <xf numFmtId="0" fontId="3" fillId="51" borderId="0" xfId="70" applyFont="1" applyFill="1" applyAlignment="1" applyProtection="1">
      <alignment horizontal="left"/>
      <protection hidden="1"/>
    </xf>
    <xf numFmtId="2" fontId="3" fillId="35" borderId="0" xfId="66" applyNumberFormat="1" applyFont="1" applyFill="1" applyBorder="1" applyProtection="1">
      <protection hidden="1"/>
    </xf>
    <xf numFmtId="0" fontId="1" fillId="51" borderId="0" xfId="0" applyFont="1" applyFill="1" applyAlignment="1" applyProtection="1">
      <alignment horizontal="left"/>
      <protection hidden="1"/>
    </xf>
    <xf numFmtId="2" fontId="3" fillId="35" borderId="0" xfId="84" applyNumberFormat="1" applyFont="1" applyFill="1" applyAlignment="1" applyProtection="1">
      <alignment horizontal="center"/>
      <protection hidden="1"/>
    </xf>
    <xf numFmtId="0" fontId="52" fillId="35" borderId="0" xfId="46" applyFont="1" applyFill="1" applyBorder="1" applyAlignment="1" applyProtection="1">
      <alignment vertical="top" wrapText="1"/>
      <protection hidden="1"/>
    </xf>
    <xf numFmtId="0" fontId="52" fillId="35" borderId="248" xfId="46" applyFont="1" applyFill="1" applyBorder="1" applyAlignment="1" applyProtection="1">
      <alignment vertical="top" wrapText="1"/>
      <protection hidden="1"/>
    </xf>
    <xf numFmtId="0" fontId="3" fillId="51" borderId="0" xfId="69" applyFont="1" applyFill="1" applyAlignment="1" applyProtection="1">
      <alignment horizontal="right"/>
      <protection hidden="1"/>
    </xf>
    <xf numFmtId="0" fontId="3" fillId="71" borderId="0" xfId="69" applyFont="1" applyFill="1" applyAlignment="1" applyProtection="1">
      <alignment horizontal="right"/>
      <protection locked="0"/>
    </xf>
    <xf numFmtId="0" fontId="3" fillId="51" borderId="0" xfId="69" applyFont="1" applyFill="1" applyAlignment="1" applyProtection="1">
      <alignment horizontal="left"/>
      <protection hidden="1"/>
    </xf>
    <xf numFmtId="0" fontId="3" fillId="51" borderId="0" xfId="69" applyFont="1" applyFill="1" applyAlignment="1" applyProtection="1">
      <protection hidden="1"/>
    </xf>
    <xf numFmtId="0" fontId="3" fillId="51" borderId="0" xfId="69" applyFont="1" applyFill="1" applyBorder="1" applyAlignment="1" applyProtection="1">
      <protection hidden="1"/>
    </xf>
    <xf numFmtId="0" fontId="47" fillId="35" borderId="0" xfId="0" applyFont="1" applyFill="1" applyAlignment="1" applyProtection="1">
      <protection hidden="1"/>
    </xf>
    <xf numFmtId="0" fontId="47" fillId="42" borderId="0" xfId="108" applyFont="1" applyFill="1" applyAlignment="1" applyProtection="1">
      <alignment wrapText="1"/>
      <protection hidden="1"/>
    </xf>
    <xf numFmtId="0" fontId="47" fillId="35" borderId="249" xfId="0" applyFont="1" applyFill="1" applyBorder="1" applyAlignment="1" applyProtection="1">
      <protection hidden="1"/>
    </xf>
    <xf numFmtId="0" fontId="47" fillId="35" borderId="0" xfId="0" applyFont="1" applyFill="1" applyBorder="1" applyAlignment="1" applyProtection="1">
      <protection hidden="1"/>
    </xf>
    <xf numFmtId="165" fontId="3" fillId="51" borderId="0" xfId="69" applyNumberFormat="1" applyFont="1" applyFill="1" applyAlignment="1" applyProtection="1">
      <protection hidden="1"/>
    </xf>
    <xf numFmtId="0" fontId="267" fillId="35" borderId="21" xfId="66" applyFont="1" applyFill="1" applyBorder="1" applyAlignment="1" applyProtection="1">
      <alignment horizontal="right"/>
      <protection hidden="1"/>
    </xf>
    <xf numFmtId="0" fontId="249" fillId="35" borderId="22" xfId="66" applyFont="1" applyFill="1" applyBorder="1" applyAlignment="1" applyProtection="1">
      <alignment horizontal="right"/>
      <protection hidden="1"/>
    </xf>
    <xf numFmtId="0" fontId="245" fillId="35" borderId="22" xfId="66" applyFont="1" applyFill="1" applyBorder="1" applyAlignment="1" applyProtection="1">
      <alignment horizontal="right"/>
      <protection hidden="1"/>
    </xf>
    <xf numFmtId="165" fontId="3" fillId="51" borderId="249" xfId="69" applyNumberFormat="1" applyFont="1" applyFill="1" applyBorder="1" applyAlignment="1" applyProtection="1">
      <protection hidden="1"/>
    </xf>
    <xf numFmtId="0" fontId="157" fillId="45" borderId="0" xfId="0" applyFont="1" applyFill="1" applyAlignment="1" applyProtection="1">
      <protection hidden="1"/>
    </xf>
    <xf numFmtId="0" fontId="47" fillId="53" borderId="0" xfId="108" applyFont="1" applyFill="1" applyAlignment="1" applyProtection="1">
      <alignment horizontal="right"/>
      <protection hidden="1"/>
    </xf>
    <xf numFmtId="0" fontId="3" fillId="51" borderId="0" xfId="84" applyFill="1" applyAlignment="1" applyProtection="1">
      <alignment horizontal="left"/>
      <protection hidden="1"/>
    </xf>
    <xf numFmtId="0" fontId="52" fillId="0" borderId="167" xfId="46" applyFont="1" applyFill="1" applyBorder="1" applyAlignment="1" applyProtection="1">
      <protection hidden="1"/>
    </xf>
    <xf numFmtId="0" fontId="2" fillId="0" borderId="0" xfId="46" applyFill="1" applyBorder="1" applyAlignment="1" applyProtection="1">
      <protection hidden="1"/>
    </xf>
    <xf numFmtId="0" fontId="3" fillId="35" borderId="0" xfId="69" applyFont="1" applyFill="1" applyAlignment="1" applyProtection="1">
      <protection hidden="1"/>
    </xf>
    <xf numFmtId="0" fontId="303" fillId="0" borderId="0" xfId="46" applyFont="1" applyAlignment="1" applyProtection="1">
      <alignment horizontal="right"/>
      <protection hidden="1"/>
    </xf>
    <xf numFmtId="0" fontId="22" fillId="35" borderId="0" xfId="0" applyFont="1" applyFill="1" applyAlignment="1" applyProtection="1">
      <protection hidden="1"/>
    </xf>
    <xf numFmtId="0" fontId="115" fillId="35" borderId="0" xfId="50" applyFont="1" applyFill="1" applyAlignment="1" applyProtection="1">
      <protection hidden="1"/>
    </xf>
    <xf numFmtId="2" fontId="176" fillId="51" borderId="197" xfId="70" applyNumberFormat="1" applyFont="1" applyFill="1" applyBorder="1" applyAlignment="1" applyProtection="1">
      <alignment horizontal="center" vertical="center"/>
      <protection hidden="1"/>
    </xf>
    <xf numFmtId="0" fontId="256" fillId="51" borderId="0" xfId="0" applyFont="1" applyFill="1" applyAlignment="1" applyProtection="1">
      <alignment horizontal="left"/>
      <protection hidden="1"/>
    </xf>
    <xf numFmtId="0" fontId="0" fillId="0" borderId="0" xfId="0"/>
    <xf numFmtId="0" fontId="171" fillId="51" borderId="0" xfId="284" applyFont="1" applyFill="1" applyAlignment="1" applyProtection="1">
      <alignment horizontal="left"/>
      <protection hidden="1"/>
    </xf>
    <xf numFmtId="0" fontId="47" fillId="51" borderId="0" xfId="0" applyFont="1" applyFill="1" applyAlignment="1" applyProtection="1">
      <alignment horizontal="center"/>
      <protection hidden="1"/>
    </xf>
    <xf numFmtId="0" fontId="304" fillId="51" borderId="0" xfId="0" applyFont="1" applyFill="1" applyAlignment="1" applyProtection="1">
      <protection hidden="1"/>
    </xf>
    <xf numFmtId="0" fontId="256" fillId="35" borderId="0" xfId="0" applyFont="1" applyFill="1" applyAlignment="1" applyProtection="1">
      <alignment vertical="top"/>
      <protection hidden="1"/>
    </xf>
    <xf numFmtId="0" fontId="85" fillId="51" borderId="0" xfId="0" applyFont="1" applyFill="1" applyAlignment="1" applyProtection="1">
      <alignment horizontal="center"/>
      <protection hidden="1"/>
    </xf>
    <xf numFmtId="165" fontId="47" fillId="42" borderId="225" xfId="108" applyNumberFormat="1" applyFont="1" applyFill="1" applyBorder="1" applyAlignment="1" applyProtection="1">
      <alignment horizontal="center"/>
      <protection hidden="1"/>
    </xf>
    <xf numFmtId="0" fontId="47" fillId="42" borderId="225" xfId="108" applyNumberFormat="1" applyFont="1" applyFill="1" applyBorder="1" applyAlignment="1" applyProtection="1">
      <alignment horizontal="center"/>
      <protection hidden="1"/>
    </xf>
    <xf numFmtId="0" fontId="47" fillId="45" borderId="189" xfId="108" applyFont="1" applyFill="1" applyBorder="1" applyAlignment="1" applyProtection="1">
      <alignment horizontal="center"/>
      <protection hidden="1"/>
    </xf>
    <xf numFmtId="0" fontId="47" fillId="45" borderId="190" xfId="108" applyFont="1" applyFill="1" applyBorder="1" applyAlignment="1" applyProtection="1">
      <alignment horizontal="center"/>
      <protection hidden="1"/>
    </xf>
    <xf numFmtId="0" fontId="47" fillId="37" borderId="251" xfId="108" applyNumberFormat="1" applyFill="1" applyBorder="1" applyAlignment="1" applyProtection="1">
      <alignment horizontal="center"/>
      <protection locked="0"/>
    </xf>
    <xf numFmtId="0" fontId="47" fillId="45" borderId="225" xfId="108" applyNumberFormat="1" applyFont="1" applyFill="1" applyBorder="1" applyAlignment="1" applyProtection="1">
      <alignment horizontal="center" wrapText="1"/>
      <protection hidden="1"/>
    </xf>
    <xf numFmtId="0" fontId="5" fillId="51" borderId="0" xfId="86" applyFont="1" applyFill="1" applyProtection="1">
      <protection hidden="1"/>
    </xf>
    <xf numFmtId="0" fontId="3" fillId="51" borderId="0" xfId="76" applyFont="1" applyFill="1" applyAlignment="1" applyProtection="1">
      <alignment horizontal="centerContinuous"/>
      <protection hidden="1"/>
    </xf>
    <xf numFmtId="0" fontId="59" fillId="45" borderId="96" xfId="0" applyFont="1" applyFill="1" applyBorder="1" applyAlignment="1" applyProtection="1">
      <protection hidden="1"/>
    </xf>
    <xf numFmtId="2" fontId="191" fillId="42" borderId="0" xfId="215" applyNumberFormat="1" applyFont="1" applyFill="1" applyProtection="1">
      <protection hidden="1"/>
    </xf>
    <xf numFmtId="0" fontId="47" fillId="42" borderId="212" xfId="108" applyFill="1" applyBorder="1" applyAlignment="1" applyProtection="1">
      <alignment horizontal="center"/>
      <protection hidden="1"/>
    </xf>
    <xf numFmtId="2" fontId="191" fillId="53" borderId="0" xfId="215" applyNumberFormat="1" applyFont="1" applyFill="1" applyProtection="1">
      <protection hidden="1"/>
    </xf>
    <xf numFmtId="0" fontId="47" fillId="45" borderId="190" xfId="108" applyFont="1" applyFill="1" applyBorder="1" applyAlignment="1" applyProtection="1">
      <alignment horizontal="center" wrapText="1"/>
      <protection hidden="1"/>
    </xf>
    <xf numFmtId="0" fontId="47" fillId="37" borderId="252" xfId="108" applyNumberFormat="1" applyFill="1" applyBorder="1" applyAlignment="1" applyProtection="1">
      <alignment horizontal="center"/>
      <protection locked="0"/>
    </xf>
    <xf numFmtId="0" fontId="47" fillId="45" borderId="225" xfId="108" applyFill="1" applyBorder="1" applyAlignment="1" applyProtection="1">
      <alignment horizontal="center" wrapText="1"/>
      <protection hidden="1"/>
    </xf>
    <xf numFmtId="0" fontId="47" fillId="42" borderId="164" xfId="108" applyFill="1" applyBorder="1" applyAlignment="1" applyProtection="1">
      <protection hidden="1"/>
    </xf>
    <xf numFmtId="2" fontId="191" fillId="51" borderId="0" xfId="215" applyNumberFormat="1" applyFont="1" applyFill="1" applyProtection="1">
      <protection hidden="1"/>
    </xf>
    <xf numFmtId="0" fontId="47" fillId="51" borderId="0" xfId="108" applyNumberFormat="1" applyFill="1" applyProtection="1">
      <protection hidden="1"/>
    </xf>
    <xf numFmtId="0" fontId="47" fillId="45" borderId="225" xfId="108" applyNumberFormat="1" applyFont="1" applyFill="1" applyBorder="1" applyAlignment="1" applyProtection="1">
      <alignment horizontal="center"/>
      <protection hidden="1"/>
    </xf>
    <xf numFmtId="0" fontId="59" fillId="45" borderId="96" xfId="0" applyFont="1" applyFill="1" applyBorder="1" applyAlignment="1" applyProtection="1">
      <alignment vertical="top"/>
      <protection hidden="1"/>
    </xf>
    <xf numFmtId="0" fontId="47" fillId="45" borderId="162" xfId="108" applyFont="1" applyFill="1" applyBorder="1" applyAlignment="1" applyProtection="1">
      <protection hidden="1"/>
    </xf>
    <xf numFmtId="165" fontId="47" fillId="51" borderId="162" xfId="108" applyNumberFormat="1" applyFill="1" applyBorder="1" applyAlignment="1" applyProtection="1">
      <protection hidden="1"/>
    </xf>
    <xf numFmtId="0" fontId="15" fillId="0" borderId="0" xfId="63" applyFont="1" applyFill="1" applyAlignment="1" applyProtection="1">
      <alignment horizontal="left"/>
      <protection hidden="1"/>
    </xf>
    <xf numFmtId="0" fontId="47" fillId="0" borderId="0" xfId="105" applyFill="1" applyProtection="1">
      <protection hidden="1"/>
    </xf>
    <xf numFmtId="0" fontId="85" fillId="0" borderId="0" xfId="63" applyFont="1" applyFill="1" applyProtection="1">
      <protection hidden="1"/>
    </xf>
    <xf numFmtId="0" fontId="188" fillId="0" borderId="0" xfId="63" applyFont="1" applyFill="1" applyProtection="1">
      <protection hidden="1"/>
    </xf>
    <xf numFmtId="0" fontId="0" fillId="0" borderId="0" xfId="0" applyFill="1" applyProtection="1">
      <protection hidden="1"/>
    </xf>
    <xf numFmtId="1" fontId="15" fillId="0" borderId="0" xfId="63" applyNumberFormat="1" applyFont="1" applyFill="1" applyProtection="1">
      <protection hidden="1"/>
    </xf>
    <xf numFmtId="2" fontId="191" fillId="42" borderId="0" xfId="215" applyNumberFormat="1" applyFont="1" applyFill="1" applyAlignment="1" applyProtection="1">
      <alignment horizontal="center"/>
      <protection hidden="1"/>
    </xf>
    <xf numFmtId="2" fontId="191" fillId="0" borderId="0" xfId="215" applyNumberFormat="1" applyFont="1" applyFill="1" applyProtection="1">
      <protection hidden="1"/>
    </xf>
    <xf numFmtId="2" fontId="47" fillId="51" borderId="212" xfId="108" applyNumberFormat="1" applyFont="1" applyFill="1" applyBorder="1" applyAlignment="1" applyProtection="1">
      <alignment horizontal="center"/>
      <protection hidden="1"/>
    </xf>
    <xf numFmtId="0" fontId="47" fillId="45" borderId="162" xfId="108" applyNumberFormat="1" applyFont="1" applyFill="1" applyBorder="1" applyAlignment="1" applyProtection="1">
      <protection hidden="1"/>
    </xf>
    <xf numFmtId="0" fontId="47" fillId="51" borderId="162" xfId="108" applyNumberFormat="1" applyFill="1" applyBorder="1" applyAlignment="1" applyProtection="1">
      <protection hidden="1"/>
    </xf>
    <xf numFmtId="0" fontId="191" fillId="42" borderId="0" xfId="215" applyNumberFormat="1" applyFont="1" applyFill="1" applyProtection="1">
      <protection hidden="1"/>
    </xf>
    <xf numFmtId="0" fontId="59" fillId="51" borderId="96" xfId="0" applyFont="1" applyFill="1" applyBorder="1" applyAlignment="1" applyProtection="1">
      <protection hidden="1"/>
    </xf>
    <xf numFmtId="0" fontId="59" fillId="51" borderId="96" xfId="0" applyFont="1" applyFill="1" applyBorder="1" applyAlignment="1" applyProtection="1">
      <alignment vertical="top"/>
      <protection hidden="1"/>
    </xf>
    <xf numFmtId="0" fontId="47" fillId="51" borderId="162" xfId="108" applyNumberFormat="1" applyFill="1" applyBorder="1" applyAlignment="1" applyProtection="1">
      <alignment horizontal="center"/>
      <protection hidden="1"/>
    </xf>
    <xf numFmtId="0" fontId="191" fillId="42" borderId="0" xfId="215" applyNumberFormat="1" applyFont="1" applyFill="1" applyAlignment="1" applyProtection="1">
      <alignment horizontal="center"/>
      <protection hidden="1"/>
    </xf>
    <xf numFmtId="0" fontId="47" fillId="51" borderId="0" xfId="108" applyNumberFormat="1" applyFill="1" applyAlignment="1" applyProtection="1">
      <alignment horizontal="center"/>
      <protection hidden="1"/>
    </xf>
    <xf numFmtId="2" fontId="305" fillId="42" borderId="0" xfId="215" applyNumberFormat="1" applyFont="1" applyFill="1" applyProtection="1">
      <protection hidden="1"/>
    </xf>
    <xf numFmtId="2" fontId="305" fillId="53" borderId="0" xfId="215" applyNumberFormat="1" applyFont="1" applyFill="1" applyProtection="1">
      <protection hidden="1"/>
    </xf>
    <xf numFmtId="0" fontId="171" fillId="51" borderId="0" xfId="108" applyFont="1" applyFill="1" applyProtection="1">
      <protection hidden="1"/>
    </xf>
    <xf numFmtId="0" fontId="47" fillId="37" borderId="162" xfId="108" applyNumberFormat="1" applyFill="1" applyBorder="1" applyAlignment="1" applyProtection="1">
      <alignment horizontal="center"/>
      <protection locked="0"/>
    </xf>
    <xf numFmtId="0" fontId="47" fillId="37" borderId="162" xfId="108" applyNumberFormat="1" applyFont="1" applyFill="1" applyBorder="1" applyAlignment="1" applyProtection="1">
      <alignment horizontal="center"/>
      <protection locked="0"/>
    </xf>
    <xf numFmtId="165" fontId="47" fillId="45" borderId="225" xfId="108" applyNumberFormat="1" applyFill="1" applyBorder="1" applyAlignment="1" applyProtection="1">
      <alignment horizontal="center" wrapText="1"/>
      <protection hidden="1"/>
    </xf>
    <xf numFmtId="0" fontId="3" fillId="0" borderId="225" xfId="84" applyFont="1" applyBorder="1" applyAlignment="1" applyProtection="1">
      <alignment vertical="center"/>
      <protection hidden="1"/>
    </xf>
    <xf numFmtId="0" fontId="3" fillId="71" borderId="225" xfId="84" applyFont="1" applyFill="1" applyBorder="1" applyAlignment="1" applyProtection="1">
      <alignment horizontal="center"/>
      <protection locked="0"/>
    </xf>
    <xf numFmtId="0" fontId="256" fillId="35" borderId="0" xfId="89" applyNumberFormat="1" applyFont="1" applyFill="1" applyAlignment="1" applyProtection="1">
      <alignment horizontal="left" vertical="top"/>
      <protection hidden="1"/>
    </xf>
    <xf numFmtId="0" fontId="176" fillId="42" borderId="0" xfId="0" applyFont="1" applyFill="1" applyAlignment="1" applyProtection="1">
      <alignment vertical="top"/>
      <protection hidden="1"/>
    </xf>
    <xf numFmtId="0" fontId="256" fillId="35" borderId="0" xfId="69" applyFont="1" applyFill="1" applyAlignment="1" applyProtection="1">
      <alignment vertical="top"/>
      <protection hidden="1"/>
    </xf>
    <xf numFmtId="0" fontId="256" fillId="35" borderId="0" xfId="67" applyFont="1" applyFill="1" applyAlignment="1" applyProtection="1">
      <protection hidden="1"/>
    </xf>
    <xf numFmtId="0" fontId="247" fillId="0" borderId="11" xfId="67" applyFont="1" applyBorder="1" applyAlignment="1" applyProtection="1">
      <alignment horizontal="center"/>
      <protection hidden="1"/>
    </xf>
    <xf numFmtId="0" fontId="247" fillId="0" borderId="10" xfId="67" applyFont="1" applyBorder="1" applyAlignment="1" applyProtection="1">
      <alignment horizontal="center"/>
      <protection hidden="1"/>
    </xf>
    <xf numFmtId="0" fontId="3" fillId="0" borderId="0" xfId="69" applyFont="1" applyFill="1" applyBorder="1" applyAlignment="1" applyProtection="1">
      <alignment horizontal="left"/>
      <protection hidden="1"/>
    </xf>
    <xf numFmtId="0" fontId="0" fillId="0" borderId="0" xfId="0" applyAlignment="1" applyProtection="1">
      <protection hidden="1"/>
    </xf>
    <xf numFmtId="0" fontId="47" fillId="0" borderId="10" xfId="63" applyFont="1" applyBorder="1" applyProtection="1">
      <protection hidden="1"/>
    </xf>
    <xf numFmtId="0" fontId="0" fillId="0" borderId="0" xfId="0" applyProtection="1">
      <protection hidden="1"/>
    </xf>
    <xf numFmtId="0" fontId="3" fillId="0" borderId="0" xfId="86" applyFont="1" applyAlignment="1" applyProtection="1">
      <protection hidden="1"/>
    </xf>
    <xf numFmtId="0" fontId="13" fillId="0" borderId="0" xfId="86" applyFont="1" applyFill="1" applyBorder="1" applyAlignment="1" applyProtection="1">
      <alignment horizontal="center"/>
      <protection hidden="1"/>
    </xf>
    <xf numFmtId="0" fontId="11" fillId="0" borderId="0" xfId="76" applyFont="1" applyFill="1" applyBorder="1" applyAlignment="1" applyProtection="1">
      <alignment horizontal="left"/>
      <protection hidden="1"/>
    </xf>
    <xf numFmtId="2" fontId="47" fillId="42" borderId="225" xfId="108" applyNumberFormat="1" applyFont="1" applyFill="1" applyBorder="1" applyAlignment="1" applyProtection="1">
      <alignment horizontal="center"/>
      <protection hidden="1"/>
    </xf>
    <xf numFmtId="0" fontId="85" fillId="53" borderId="0" xfId="67" applyFont="1" applyFill="1" applyAlignment="1" applyProtection="1">
      <protection hidden="1"/>
    </xf>
    <xf numFmtId="0" fontId="47" fillId="53" borderId="0" xfId="63" applyFont="1" applyFill="1" applyAlignment="1" applyProtection="1">
      <protection hidden="1"/>
    </xf>
    <xf numFmtId="0" fontId="47" fillId="0" borderId="0" xfId="63" applyFont="1" applyAlignment="1" applyProtection="1">
      <protection hidden="1"/>
    </xf>
    <xf numFmtId="0" fontId="152" fillId="42" borderId="0" xfId="0" applyFont="1" applyFill="1" applyAlignment="1" applyProtection="1">
      <protection hidden="1"/>
    </xf>
    <xf numFmtId="0" fontId="47" fillId="53" borderId="0" xfId="67" applyFont="1" applyFill="1" applyAlignment="1" applyProtection="1">
      <protection hidden="1"/>
    </xf>
    <xf numFmtId="0" fontId="1" fillId="35" borderId="0" xfId="0" applyFont="1" applyFill="1" applyAlignment="1" applyProtection="1">
      <protection hidden="1"/>
    </xf>
    <xf numFmtId="0" fontId="1" fillId="51" borderId="0" xfId="0" applyFont="1" applyFill="1" applyAlignment="1" applyProtection="1">
      <protection hidden="1"/>
    </xf>
    <xf numFmtId="0" fontId="85" fillId="0" borderId="0" xfId="67" applyFont="1" applyAlignment="1" applyProtection="1">
      <protection hidden="1"/>
    </xf>
    <xf numFmtId="0" fontId="85" fillId="45" borderId="0" xfId="0" applyFont="1" applyFill="1" applyAlignment="1" applyProtection="1">
      <protection hidden="1"/>
    </xf>
    <xf numFmtId="164" fontId="47" fillId="42" borderId="0" xfId="0" applyNumberFormat="1" applyFont="1" applyFill="1" applyAlignment="1" applyProtection="1">
      <protection hidden="1"/>
    </xf>
    <xf numFmtId="164" fontId="47" fillId="53" borderId="0" xfId="0" applyNumberFormat="1" applyFont="1" applyFill="1" applyAlignment="1" applyProtection="1">
      <protection hidden="1"/>
    </xf>
    <xf numFmtId="0" fontId="85" fillId="42" borderId="0" xfId="0" applyFont="1" applyFill="1" applyAlignment="1" applyProtection="1">
      <protection hidden="1"/>
    </xf>
    <xf numFmtId="0" fontId="85" fillId="43" borderId="0" xfId="67" applyFont="1" applyFill="1" applyAlignment="1" applyProtection="1">
      <alignment horizontal="center"/>
      <protection hidden="1"/>
    </xf>
    <xf numFmtId="0" fontId="85" fillId="53" borderId="0" xfId="67" applyFont="1" applyFill="1" applyAlignment="1" applyProtection="1">
      <alignment horizontal="center"/>
      <protection hidden="1"/>
    </xf>
    <xf numFmtId="0" fontId="125" fillId="53" borderId="0" xfId="67" applyFont="1" applyFill="1" applyAlignment="1" applyProtection="1">
      <alignment horizontal="center" wrapText="1"/>
      <protection hidden="1"/>
    </xf>
    <xf numFmtId="0" fontId="85" fillId="42" borderId="0" xfId="67" applyFont="1" applyFill="1" applyAlignment="1" applyProtection="1">
      <alignment horizontal="center"/>
      <protection hidden="1"/>
    </xf>
    <xf numFmtId="0" fontId="40" fillId="42" borderId="0" xfId="67" applyFont="1" applyFill="1" applyAlignment="1" applyProtection="1">
      <alignment horizontal="center" wrapText="1"/>
      <protection hidden="1"/>
    </xf>
    <xf numFmtId="0" fontId="1" fillId="0" borderId="0" xfId="0" applyFont="1" applyAlignment="1" applyProtection="1">
      <alignment horizontal="center"/>
      <protection hidden="1"/>
    </xf>
    <xf numFmtId="0" fontId="40" fillId="53" borderId="0" xfId="67" applyFont="1" applyFill="1" applyAlignment="1" applyProtection="1">
      <alignment horizontal="center"/>
      <protection hidden="1"/>
    </xf>
    <xf numFmtId="0" fontId="85" fillId="51" borderId="0" xfId="67" applyFont="1" applyFill="1" applyAlignment="1" applyProtection="1">
      <alignment horizontal="center"/>
      <protection hidden="1"/>
    </xf>
    <xf numFmtId="0" fontId="1" fillId="35" borderId="0" xfId="0" applyFont="1" applyFill="1" applyAlignment="1" applyProtection="1">
      <alignment horizontal="center"/>
      <protection hidden="1"/>
    </xf>
    <xf numFmtId="0" fontId="1" fillId="51" borderId="0" xfId="0" applyFont="1" applyFill="1" applyAlignment="1" applyProtection="1">
      <alignment horizontal="center"/>
      <protection hidden="1"/>
    </xf>
    <xf numFmtId="0" fontId="85" fillId="42" borderId="0" xfId="0" applyFont="1" applyFill="1" applyAlignment="1" applyProtection="1">
      <alignment horizontal="center"/>
      <protection hidden="1"/>
    </xf>
    <xf numFmtId="0" fontId="47" fillId="35" borderId="165" xfId="67" applyFont="1" applyFill="1" applyBorder="1" applyAlignment="1" applyProtection="1">
      <alignment horizontal="center"/>
      <protection hidden="1"/>
    </xf>
    <xf numFmtId="0" fontId="85" fillId="42" borderId="0" xfId="108" applyFont="1" applyFill="1" applyAlignment="1" applyProtection="1">
      <alignment horizontal="center"/>
      <protection hidden="1"/>
    </xf>
    <xf numFmtId="0" fontId="47" fillId="42" borderId="0" xfId="108" applyFont="1" applyFill="1" applyAlignment="1" applyProtection="1">
      <alignment horizontal="center"/>
      <protection hidden="1"/>
    </xf>
    <xf numFmtId="0" fontId="47" fillId="43" borderId="0" xfId="67" applyFont="1" applyFill="1" applyAlignment="1" applyProtection="1">
      <protection hidden="1"/>
    </xf>
    <xf numFmtId="0" fontId="3" fillId="0" borderId="225" xfId="84" applyFont="1" applyBorder="1" applyAlignment="1" applyProtection="1">
      <alignment horizontal="center"/>
      <protection hidden="1"/>
    </xf>
    <xf numFmtId="0" fontId="85" fillId="51" borderId="254" xfId="0" applyFont="1" applyFill="1" applyBorder="1" applyProtection="1">
      <protection hidden="1"/>
    </xf>
    <xf numFmtId="0" fontId="170" fillId="51" borderId="0" xfId="0" applyFont="1" applyFill="1" applyProtection="1">
      <protection hidden="1"/>
    </xf>
    <xf numFmtId="0" fontId="170" fillId="0" borderId="0" xfId="0" applyFont="1" applyProtection="1">
      <protection hidden="1"/>
    </xf>
    <xf numFmtId="0" fontId="85" fillId="0" borderId="0" xfId="0" applyFont="1" applyAlignment="1" applyProtection="1">
      <alignment horizontal="center"/>
      <protection hidden="1"/>
    </xf>
    <xf numFmtId="0" fontId="47" fillId="0" borderId="13" xfId="67" applyFont="1" applyBorder="1" applyProtection="1">
      <protection hidden="1"/>
    </xf>
    <xf numFmtId="0" fontId="11" fillId="0" borderId="0" xfId="63" applyFont="1" applyAlignment="1" applyProtection="1">
      <alignment horizontal="center"/>
      <protection hidden="1"/>
    </xf>
    <xf numFmtId="0" fontId="85" fillId="0" borderId="13" xfId="63" applyFont="1" applyBorder="1" applyProtection="1">
      <protection hidden="1"/>
    </xf>
    <xf numFmtId="0" fontId="11" fillId="0" borderId="0" xfId="67" applyFont="1" applyAlignment="1" applyProtection="1">
      <alignment horizontal="center"/>
      <protection hidden="1"/>
    </xf>
    <xf numFmtId="0" fontId="47" fillId="0" borderId="0" xfId="0" applyFont="1" applyAlignment="1" applyProtection="1">
      <alignment horizontal="left"/>
      <protection hidden="1"/>
    </xf>
    <xf numFmtId="0" fontId="47" fillId="0" borderId="20" xfId="105" applyBorder="1" applyProtection="1">
      <protection hidden="1"/>
    </xf>
    <xf numFmtId="1" fontId="47" fillId="0" borderId="14" xfId="63" applyNumberFormat="1" applyFont="1" applyBorder="1" applyProtection="1">
      <protection hidden="1"/>
    </xf>
    <xf numFmtId="1" fontId="47" fillId="0" borderId="96" xfId="63" applyNumberFormat="1" applyFont="1" applyBorder="1" applyProtection="1">
      <protection hidden="1"/>
    </xf>
    <xf numFmtId="0" fontId="47" fillId="0" borderId="14" xfId="63" applyFont="1" applyBorder="1" applyProtection="1">
      <protection hidden="1"/>
    </xf>
    <xf numFmtId="0" fontId="85" fillId="0" borderId="14" xfId="0" applyFont="1" applyBorder="1" applyProtection="1">
      <protection hidden="1"/>
    </xf>
    <xf numFmtId="0" fontId="11" fillId="0" borderId="18" xfId="63" applyFont="1" applyBorder="1" applyProtection="1">
      <protection hidden="1"/>
    </xf>
    <xf numFmtId="0" fontId="11" fillId="0" borderId="138" xfId="63" applyFont="1" applyBorder="1" applyProtection="1">
      <protection hidden="1"/>
    </xf>
    <xf numFmtId="0" fontId="47" fillId="0" borderId="18" xfId="63" applyFont="1" applyBorder="1" applyProtection="1">
      <protection hidden="1"/>
    </xf>
    <xf numFmtId="0" fontId="47" fillId="0" borderId="24" xfId="63" applyFont="1" applyBorder="1" applyProtection="1">
      <protection hidden="1"/>
    </xf>
    <xf numFmtId="0" fontId="85" fillId="0" borderId="0" xfId="63" applyFont="1" applyAlignment="1" applyProtection="1">
      <alignment horizontal="center"/>
      <protection hidden="1"/>
    </xf>
    <xf numFmtId="0" fontId="85" fillId="0" borderId="0" xfId="0" applyFont="1" applyAlignment="1" applyProtection="1">
      <alignment horizontal="right"/>
      <protection hidden="1"/>
    </xf>
    <xf numFmtId="0" fontId="85" fillId="0" borderId="13" xfId="0" applyFont="1" applyBorder="1" applyProtection="1">
      <protection hidden="1"/>
    </xf>
    <xf numFmtId="0" fontId="141" fillId="0" borderId="0" xfId="0" applyFont="1" applyProtection="1">
      <protection hidden="1"/>
    </xf>
    <xf numFmtId="0" fontId="85" fillId="0" borderId="20" xfId="0" applyFont="1" applyBorder="1" applyProtection="1">
      <protection hidden="1"/>
    </xf>
    <xf numFmtId="0" fontId="3" fillId="0" borderId="13" xfId="76" applyFont="1" applyFill="1" applyBorder="1" applyAlignment="1" applyProtection="1">
      <protection locked="0"/>
    </xf>
    <xf numFmtId="0" fontId="11" fillId="0" borderId="0" xfId="76" applyFont="1" applyFill="1" applyBorder="1" applyAlignment="1" applyProtection="1">
      <alignment horizontal="center"/>
      <protection locked="0"/>
    </xf>
    <xf numFmtId="0" fontId="3" fillId="0" borderId="0" xfId="76" applyFont="1" applyBorder="1" applyAlignment="1" applyProtection="1">
      <protection locked="0"/>
    </xf>
    <xf numFmtId="0" fontId="3" fillId="0" borderId="13" xfId="76" applyFont="1" applyBorder="1" applyAlignment="1" applyProtection="1">
      <protection locked="0"/>
    </xf>
    <xf numFmtId="0" fontId="52" fillId="0" borderId="0" xfId="46" applyFont="1" applyBorder="1" applyAlignment="1" applyProtection="1">
      <protection locked="0"/>
    </xf>
    <xf numFmtId="0" fontId="3" fillId="0" borderId="13" xfId="76" applyFont="1" applyBorder="1" applyProtection="1">
      <protection locked="0"/>
    </xf>
    <xf numFmtId="0" fontId="3" fillId="0" borderId="0" xfId="76" applyFont="1" applyBorder="1" applyProtection="1">
      <protection locked="0"/>
    </xf>
    <xf numFmtId="0" fontId="3" fillId="0" borderId="13" xfId="76" applyFont="1" applyFill="1" applyBorder="1" applyProtection="1">
      <protection locked="0"/>
    </xf>
    <xf numFmtId="0" fontId="11" fillId="0" borderId="13" xfId="71" applyFont="1" applyFill="1" applyBorder="1" applyAlignment="1" applyProtection="1">
      <alignment horizontal="right"/>
      <protection locked="0"/>
    </xf>
    <xf numFmtId="0" fontId="3" fillId="0" borderId="0" xfId="75" applyFont="1" applyBorder="1" applyProtection="1">
      <protection locked="0"/>
    </xf>
    <xf numFmtId="0" fontId="3" fillId="0" borderId="13" xfId="75" applyFont="1" applyBorder="1" applyAlignment="1" applyProtection="1">
      <protection locked="0"/>
    </xf>
    <xf numFmtId="0" fontId="11" fillId="0" borderId="13" xfId="76" applyFont="1" applyBorder="1" applyAlignment="1" applyProtection="1">
      <alignment horizontal="right"/>
      <protection locked="0"/>
    </xf>
    <xf numFmtId="0" fontId="11" fillId="0" borderId="0" xfId="76" applyFont="1" applyBorder="1" applyProtection="1">
      <protection locked="0"/>
    </xf>
    <xf numFmtId="0" fontId="3" fillId="0" borderId="0" xfId="76" applyFont="1" applyFill="1" applyBorder="1" applyAlignment="1" applyProtection="1">
      <protection locked="0"/>
    </xf>
    <xf numFmtId="0" fontId="3" fillId="0" borderId="20" xfId="0" applyFont="1" applyBorder="1" applyAlignment="1" applyProtection="1">
      <protection locked="0"/>
    </xf>
    <xf numFmtId="0" fontId="3" fillId="0" borderId="14" xfId="76" applyFont="1" applyFill="1" applyBorder="1" applyAlignment="1" applyProtection="1">
      <protection locked="0"/>
    </xf>
    <xf numFmtId="0" fontId="265" fillId="42" borderId="0" xfId="67" applyFont="1" applyFill="1" applyAlignment="1" applyProtection="1">
      <alignment horizontal="right"/>
      <protection hidden="1"/>
    </xf>
    <xf numFmtId="0" fontId="85" fillId="51" borderId="255" xfId="0" applyFont="1" applyFill="1" applyBorder="1" applyProtection="1">
      <protection hidden="1"/>
    </xf>
    <xf numFmtId="0" fontId="0" fillId="0" borderId="0" xfId="0" applyAlignment="1" applyProtection="1">
      <protection hidden="1"/>
    </xf>
    <xf numFmtId="0" fontId="47" fillId="51" borderId="212" xfId="108" applyNumberFormat="1" applyFont="1" applyFill="1" applyBorder="1" applyAlignment="1" applyProtection="1">
      <alignment horizontal="center"/>
      <protection hidden="1"/>
    </xf>
    <xf numFmtId="0" fontId="47" fillId="45" borderId="212" xfId="108" applyFont="1" applyFill="1" applyBorder="1" applyAlignment="1" applyProtection="1">
      <alignment horizontal="center"/>
      <protection hidden="1"/>
    </xf>
    <xf numFmtId="0" fontId="25" fillId="35" borderId="0" xfId="46" applyFont="1" applyFill="1" applyAlignment="1" applyProtection="1">
      <protection hidden="1"/>
    </xf>
    <xf numFmtId="0" fontId="3" fillId="35" borderId="0" xfId="84" applyFont="1" applyFill="1" applyProtection="1">
      <protection hidden="1"/>
    </xf>
    <xf numFmtId="0" fontId="25" fillId="35" borderId="0" xfId="46" applyFont="1" applyFill="1" applyBorder="1" applyAlignment="1" applyProtection="1">
      <alignment horizontal="left"/>
      <protection hidden="1"/>
    </xf>
    <xf numFmtId="0" fontId="47" fillId="45" borderId="225" xfId="108" applyFont="1" applyFill="1" applyBorder="1" applyAlignment="1" applyProtection="1">
      <alignment horizontal="center"/>
      <protection hidden="1"/>
    </xf>
    <xf numFmtId="0" fontId="47" fillId="42" borderId="212" xfId="108" applyFont="1" applyFill="1" applyBorder="1" applyAlignment="1" applyProtection="1">
      <alignment horizontal="center"/>
      <protection hidden="1"/>
    </xf>
    <xf numFmtId="0" fontId="0" fillId="0" borderId="0" xfId="0" applyProtection="1">
      <protection hidden="1"/>
    </xf>
    <xf numFmtId="0" fontId="47" fillId="42" borderId="225" xfId="108" applyFont="1" applyFill="1" applyBorder="1" applyAlignment="1" applyProtection="1">
      <alignment horizontal="center"/>
      <protection hidden="1"/>
    </xf>
    <xf numFmtId="0" fontId="13" fillId="0" borderId="0" xfId="106" applyFont="1" applyAlignment="1" applyProtection="1">
      <protection hidden="1"/>
    </xf>
    <xf numFmtId="0" fontId="13" fillId="0" borderId="0" xfId="106" applyFont="1" applyAlignment="1" applyProtection="1">
      <alignment wrapText="1"/>
      <protection hidden="1"/>
    </xf>
    <xf numFmtId="0" fontId="13" fillId="0" borderId="0" xfId="86" applyFont="1" applyFill="1" applyBorder="1" applyAlignment="1" applyProtection="1">
      <alignment horizontal="center"/>
      <protection hidden="1"/>
    </xf>
    <xf numFmtId="0" fontId="3" fillId="0" borderId="0" xfId="86" applyFont="1" applyAlignment="1" applyProtection="1">
      <protection hidden="1"/>
    </xf>
    <xf numFmtId="0" fontId="11" fillId="0" borderId="0" xfId="86" applyFont="1" applyAlignment="1" applyProtection="1">
      <alignment horizontal="center"/>
      <protection hidden="1"/>
    </xf>
    <xf numFmtId="0" fontId="171" fillId="75" borderId="17" xfId="0" applyFont="1" applyFill="1" applyBorder="1" applyProtection="1">
      <protection locked="0"/>
    </xf>
    <xf numFmtId="1" fontId="47" fillId="71" borderId="52" xfId="67" applyNumberFormat="1" applyFont="1" applyFill="1" applyBorder="1" applyProtection="1">
      <protection locked="0"/>
    </xf>
    <xf numFmtId="0" fontId="3" fillId="37" borderId="52" xfId="84" applyFont="1" applyFill="1" applyBorder="1" applyAlignment="1" applyProtection="1">
      <alignment horizontal="right"/>
      <protection locked="0"/>
    </xf>
    <xf numFmtId="0" fontId="5" fillId="71" borderId="52" xfId="66" applyFont="1" applyFill="1" applyBorder="1" applyAlignment="1" applyProtection="1">
      <protection locked="0"/>
    </xf>
    <xf numFmtId="0" fontId="47" fillId="44" borderId="82" xfId="67" applyNumberFormat="1" applyFont="1" applyFill="1" applyBorder="1" applyAlignment="1" applyProtection="1">
      <alignment horizontal="center"/>
      <protection locked="0"/>
    </xf>
    <xf numFmtId="0" fontId="5" fillId="37" borderId="17" xfId="73" applyNumberFormat="1" applyFont="1" applyFill="1" applyBorder="1" applyAlignment="1" applyProtection="1">
      <alignment horizontal="center"/>
      <protection locked="0"/>
    </xf>
    <xf numFmtId="0" fontId="5" fillId="0" borderId="0" xfId="86" applyProtection="1">
      <protection locked="0"/>
    </xf>
    <xf numFmtId="2" fontId="3" fillId="7" borderId="0" xfId="76" applyNumberFormat="1" applyFont="1" applyFill="1" applyProtection="1">
      <protection locked="0"/>
    </xf>
    <xf numFmtId="0" fontId="3" fillId="75" borderId="193" xfId="86" applyFont="1" applyFill="1" applyBorder="1" applyProtection="1">
      <protection locked="0"/>
    </xf>
    <xf numFmtId="0" fontId="3" fillId="51" borderId="0" xfId="0" applyFont="1" applyFill="1" applyAlignment="1" applyProtection="1">
      <protection hidden="1"/>
    </xf>
    <xf numFmtId="0" fontId="25" fillId="42" borderId="0" xfId="46" applyFont="1" applyFill="1" applyAlignment="1" applyProtection="1">
      <alignment horizontal="right"/>
      <protection hidden="1"/>
    </xf>
    <xf numFmtId="0" fontId="3" fillId="35" borderId="0" xfId="66" applyFont="1" applyFill="1" applyBorder="1" applyAlignment="1" applyProtection="1">
      <protection hidden="1"/>
    </xf>
    <xf numFmtId="0" fontId="60" fillId="42" borderId="0" xfId="0" applyFont="1" applyFill="1" applyAlignment="1" applyProtection="1">
      <protection hidden="1"/>
    </xf>
    <xf numFmtId="2" fontId="47" fillId="0" borderId="17" xfId="0" applyNumberFormat="1" applyFont="1" applyBorder="1" applyAlignment="1" applyProtection="1">
      <alignment horizontal="center"/>
      <protection hidden="1"/>
    </xf>
    <xf numFmtId="4" fontId="47" fillId="0" borderId="12" xfId="0" applyNumberFormat="1" applyFont="1" applyBorder="1" applyAlignment="1" applyProtection="1">
      <alignment horizontal="center"/>
      <protection hidden="1"/>
    </xf>
    <xf numFmtId="0" fontId="47" fillId="0" borderId="17" xfId="0" applyFont="1" applyBorder="1" applyProtection="1">
      <protection hidden="1"/>
    </xf>
    <xf numFmtId="0" fontId="47" fillId="42" borderId="0" xfId="67" applyFont="1" applyFill="1" applyAlignment="1" applyProtection="1">
      <alignment horizontal="center"/>
      <protection hidden="1"/>
    </xf>
    <xf numFmtId="0" fontId="153" fillId="42" borderId="0" xfId="67" applyFont="1" applyFill="1" applyProtection="1">
      <protection hidden="1"/>
    </xf>
    <xf numFmtId="0" fontId="47" fillId="42" borderId="0" xfId="67" applyFont="1" applyFill="1" applyAlignment="1" applyProtection="1">
      <alignment horizontal="right"/>
      <protection hidden="1"/>
    </xf>
    <xf numFmtId="0" fontId="47" fillId="42" borderId="0" xfId="67" applyFont="1" applyFill="1" applyProtection="1">
      <protection hidden="1"/>
    </xf>
    <xf numFmtId="0" fontId="153" fillId="42" borderId="0" xfId="67" applyFont="1" applyFill="1" applyAlignment="1" applyProtection="1">
      <protection hidden="1"/>
    </xf>
    <xf numFmtId="0" fontId="165" fillId="42" borderId="0" xfId="67" applyFont="1" applyFill="1" applyAlignment="1" applyProtection="1">
      <alignment horizontal="right"/>
      <protection hidden="1"/>
    </xf>
    <xf numFmtId="0" fontId="25" fillId="42" borderId="0" xfId="46" applyFont="1" applyFill="1" applyAlignment="1" applyProtection="1">
      <alignment horizontal="left"/>
      <protection hidden="1"/>
    </xf>
    <xf numFmtId="0" fontId="47" fillId="0" borderId="17" xfId="0" applyNumberFormat="1" applyFont="1" applyBorder="1" applyAlignment="1" applyProtection="1">
      <alignment horizontal="center"/>
      <protection hidden="1"/>
    </xf>
    <xf numFmtId="0" fontId="47" fillId="42" borderId="212" xfId="108" applyFont="1" applyFill="1" applyBorder="1" applyAlignment="1" applyProtection="1">
      <alignment horizontal="center"/>
      <protection hidden="1"/>
    </xf>
    <xf numFmtId="0" fontId="47" fillId="42" borderId="164" xfId="108" applyFont="1" applyFill="1" applyBorder="1" applyAlignment="1" applyProtection="1">
      <alignment horizontal="center"/>
      <protection hidden="1"/>
    </xf>
    <xf numFmtId="0" fontId="47" fillId="45" borderId="162" xfId="108" applyNumberFormat="1" applyFont="1" applyFill="1" applyBorder="1" applyAlignment="1" applyProtection="1">
      <alignment horizontal="center"/>
      <protection hidden="1"/>
    </xf>
    <xf numFmtId="0" fontId="47" fillId="45" borderId="225" xfId="108" applyFont="1" applyFill="1" applyBorder="1" applyAlignment="1" applyProtection="1">
      <alignment horizontal="center"/>
      <protection hidden="1"/>
    </xf>
    <xf numFmtId="0" fontId="0" fillId="0" borderId="0" xfId="0" applyBorder="1" applyProtection="1">
      <protection hidden="1"/>
    </xf>
    <xf numFmtId="0" fontId="0" fillId="0" borderId="96" xfId="0" applyBorder="1" applyProtection="1">
      <protection hidden="1"/>
    </xf>
    <xf numFmtId="0" fontId="47" fillId="42" borderId="162" xfId="67" applyFont="1" applyFill="1" applyBorder="1" applyAlignment="1" applyProtection="1">
      <alignment horizontal="center"/>
      <protection hidden="1"/>
    </xf>
    <xf numFmtId="0" fontId="47" fillId="0" borderId="193" xfId="0" applyFont="1" applyBorder="1" applyAlignment="1" applyProtection="1">
      <alignment horizontal="center"/>
      <protection hidden="1"/>
    </xf>
    <xf numFmtId="0" fontId="47" fillId="42" borderId="193" xfId="67" applyFont="1" applyFill="1" applyBorder="1" applyAlignment="1" applyProtection="1">
      <alignment horizontal="center"/>
      <protection hidden="1"/>
    </xf>
    <xf numFmtId="2" fontId="3" fillId="0" borderId="193" xfId="69" applyNumberFormat="1" applyFont="1" applyBorder="1" applyAlignment="1" applyProtection="1">
      <alignment horizontal="center"/>
      <protection hidden="1"/>
    </xf>
    <xf numFmtId="0" fontId="3" fillId="35" borderId="0" xfId="84" applyFont="1" applyFill="1" applyProtection="1">
      <protection hidden="1"/>
    </xf>
    <xf numFmtId="0" fontId="22" fillId="35" borderId="0" xfId="66" applyFont="1" applyFill="1" applyBorder="1" applyAlignment="1" applyProtection="1">
      <alignment horizontal="left"/>
      <protection hidden="1"/>
    </xf>
    <xf numFmtId="0" fontId="25" fillId="35" borderId="0" xfId="46" applyFont="1" applyFill="1" applyAlignment="1" applyProtection="1">
      <alignment horizontal="left"/>
      <protection hidden="1"/>
    </xf>
    <xf numFmtId="0" fontId="25" fillId="35" borderId="0" xfId="46" applyFont="1" applyFill="1" applyAlignment="1" applyProtection="1">
      <protection hidden="1"/>
    </xf>
    <xf numFmtId="0" fontId="3" fillId="0" borderId="0" xfId="66" applyFont="1" applyBorder="1" applyAlignment="1" applyProtection="1">
      <protection hidden="1"/>
    </xf>
    <xf numFmtId="1" fontId="3" fillId="0" borderId="0" xfId="66" applyNumberFormat="1" applyFont="1" applyBorder="1" applyAlignment="1" applyProtection="1">
      <protection hidden="1"/>
    </xf>
    <xf numFmtId="1" fontId="3" fillId="0" borderId="15" xfId="66" applyNumberFormat="1" applyFont="1" applyBorder="1" applyAlignment="1" applyProtection="1">
      <protection hidden="1"/>
    </xf>
    <xf numFmtId="0" fontId="3" fillId="0" borderId="0" xfId="66" applyFont="1" applyFill="1" applyBorder="1" applyAlignment="1" applyProtection="1">
      <alignment horizontal="left"/>
      <protection hidden="1"/>
    </xf>
    <xf numFmtId="0" fontId="3" fillId="35" borderId="13" xfId="66" applyFont="1" applyFill="1" applyBorder="1" applyAlignment="1" applyProtection="1">
      <protection hidden="1"/>
    </xf>
    <xf numFmtId="0" fontId="131" fillId="35" borderId="0" xfId="66" applyFont="1" applyFill="1" applyBorder="1" applyAlignment="1" applyProtection="1">
      <alignment horizontal="left"/>
      <protection hidden="1"/>
    </xf>
    <xf numFmtId="0" fontId="106" fillId="35" borderId="0" xfId="91" applyFont="1" applyFill="1" applyBorder="1" applyAlignment="1" applyProtection="1">
      <protection hidden="1"/>
    </xf>
    <xf numFmtId="0" fontId="106" fillId="35" borderId="15" xfId="91" applyFont="1" applyFill="1" applyBorder="1" applyAlignment="1" applyProtection="1">
      <protection hidden="1"/>
    </xf>
    <xf numFmtId="2" fontId="3" fillId="35" borderId="96" xfId="66" applyNumberFormat="1" applyFont="1" applyFill="1" applyBorder="1" applyAlignment="1" applyProtection="1">
      <alignment horizontal="left"/>
      <protection hidden="1"/>
    </xf>
    <xf numFmtId="0" fontId="5" fillId="35" borderId="0" xfId="66" applyFont="1" applyFill="1" applyAlignment="1" applyProtection="1">
      <protection hidden="1"/>
    </xf>
    <xf numFmtId="0" fontId="0" fillId="35" borderId="0" xfId="0" applyFill="1" applyAlignment="1" applyProtection="1">
      <protection hidden="1"/>
    </xf>
    <xf numFmtId="0" fontId="34" fillId="35" borderId="0" xfId="84" applyFont="1" applyFill="1" applyBorder="1" applyAlignment="1" applyProtection="1">
      <alignment horizontal="left"/>
      <protection hidden="1"/>
    </xf>
    <xf numFmtId="0" fontId="112" fillId="35" borderId="0" xfId="69" applyFont="1" applyFill="1" applyBorder="1" applyAlignment="1" applyProtection="1">
      <alignment horizontal="left"/>
      <protection hidden="1"/>
    </xf>
    <xf numFmtId="0" fontId="3" fillId="35" borderId="167" xfId="84" applyFill="1" applyBorder="1" applyAlignment="1" applyProtection="1">
      <protection hidden="1"/>
    </xf>
    <xf numFmtId="0" fontId="3" fillId="35" borderId="0" xfId="84" applyFill="1" applyBorder="1" applyAlignment="1" applyProtection="1">
      <protection hidden="1"/>
    </xf>
    <xf numFmtId="0" fontId="25" fillId="35" borderId="0" xfId="46" applyFont="1" applyFill="1" applyAlignment="1" applyProtection="1">
      <alignment horizontal="right"/>
      <protection hidden="1"/>
    </xf>
    <xf numFmtId="0" fontId="1" fillId="35" borderId="0" xfId="69" applyFill="1" applyProtection="1">
      <protection hidden="1"/>
    </xf>
    <xf numFmtId="0" fontId="47" fillId="0" borderId="203" xfId="0" applyFont="1" applyFill="1" applyBorder="1" applyAlignment="1" applyProtection="1">
      <protection hidden="1"/>
    </xf>
    <xf numFmtId="0" fontId="3" fillId="35" borderId="0" xfId="69" applyFont="1" applyFill="1" applyBorder="1" applyAlignment="1" applyProtection="1">
      <alignment horizontal="right"/>
      <protection hidden="1"/>
    </xf>
    <xf numFmtId="164" fontId="3" fillId="35" borderId="0" xfId="69" applyNumberFormat="1" applyFont="1" applyFill="1" applyBorder="1" applyAlignment="1" applyProtection="1">
      <alignment horizontal="left"/>
      <protection hidden="1"/>
    </xf>
    <xf numFmtId="0" fontId="47" fillId="42" borderId="0" xfId="108" applyFont="1" applyFill="1" applyAlignment="1" applyProtection="1">
      <alignment horizontal="right"/>
      <protection hidden="1"/>
    </xf>
    <xf numFmtId="0" fontId="3" fillId="35" borderId="0" xfId="69" applyFont="1" applyFill="1" applyBorder="1" applyAlignment="1" applyProtection="1">
      <alignment horizontal="left"/>
      <protection hidden="1"/>
    </xf>
    <xf numFmtId="1" fontId="3" fillId="35" borderId="0" xfId="69" applyNumberFormat="1" applyFont="1" applyFill="1" applyBorder="1" applyAlignment="1" applyProtection="1">
      <alignment horizontal="left"/>
      <protection hidden="1"/>
    </xf>
    <xf numFmtId="0" fontId="55" fillId="35" borderId="0" xfId="46" applyFont="1" applyFill="1" applyAlignment="1" applyProtection="1">
      <alignment horizontal="right"/>
      <protection hidden="1"/>
    </xf>
    <xf numFmtId="0" fontId="47" fillId="45" borderId="162" xfId="108" applyFont="1" applyFill="1" applyBorder="1" applyAlignment="1" applyProtection="1">
      <alignment horizontal="center"/>
      <protection hidden="1"/>
    </xf>
    <xf numFmtId="0" fontId="47" fillId="42" borderId="0" xfId="67" applyFont="1" applyFill="1" applyAlignment="1" applyProtection="1">
      <alignment horizontal="left"/>
      <protection hidden="1"/>
    </xf>
    <xf numFmtId="0" fontId="47" fillId="35" borderId="96" xfId="0" applyFont="1" applyFill="1" applyBorder="1" applyAlignment="1" applyProtection="1">
      <protection hidden="1"/>
    </xf>
    <xf numFmtId="0" fontId="47" fillId="42" borderId="225" xfId="108" applyFont="1" applyFill="1" applyBorder="1" applyAlignment="1" applyProtection="1">
      <alignment horizontal="center"/>
      <protection hidden="1"/>
    </xf>
    <xf numFmtId="0" fontId="0" fillId="0" borderId="0" xfId="0" applyProtection="1">
      <protection hidden="1"/>
    </xf>
    <xf numFmtId="0" fontId="47" fillId="0" borderId="17" xfId="67" applyFont="1" applyBorder="1" applyAlignment="1" applyProtection="1">
      <alignment horizontal="center"/>
      <protection hidden="1"/>
    </xf>
    <xf numFmtId="0" fontId="47" fillId="0" borderId="0" xfId="0" applyFont="1" applyAlignment="1" applyProtection="1">
      <alignment horizontal="center" wrapText="1"/>
      <protection hidden="1"/>
    </xf>
    <xf numFmtId="0" fontId="47" fillId="0" borderId="13" xfId="63" applyFont="1" applyBorder="1" applyProtection="1">
      <protection hidden="1"/>
    </xf>
    <xf numFmtId="0" fontId="47" fillId="0" borderId="18" xfId="67" applyFont="1" applyBorder="1" applyProtection="1">
      <protection hidden="1"/>
    </xf>
    <xf numFmtId="0" fontId="146" fillId="42" borderId="0" xfId="104" applyFont="1" applyFill="1" applyAlignment="1" applyProtection="1">
      <alignment horizontal="left"/>
      <protection hidden="1"/>
    </xf>
    <xf numFmtId="0" fontId="52" fillId="35" borderId="0" xfId="46" applyFont="1" applyFill="1" applyAlignment="1" applyProtection="1">
      <protection hidden="1"/>
    </xf>
    <xf numFmtId="0" fontId="176" fillId="42" borderId="0" xfId="67" applyFont="1" applyFill="1" applyAlignment="1" applyProtection="1">
      <alignment horizontal="right"/>
      <protection hidden="1"/>
    </xf>
    <xf numFmtId="0" fontId="47" fillId="42" borderId="13" xfId="67" applyFont="1" applyFill="1" applyBorder="1" applyAlignment="1" applyProtection="1">
      <protection hidden="1"/>
    </xf>
    <xf numFmtId="0" fontId="176" fillId="42" borderId="0" xfId="0" applyFont="1" applyFill="1" applyAlignment="1" applyProtection="1">
      <alignment horizontal="right"/>
      <protection hidden="1"/>
    </xf>
    <xf numFmtId="0" fontId="47" fillId="42" borderId="0" xfId="63" applyFont="1" applyFill="1" applyAlignment="1" applyProtection="1">
      <alignment vertical="center"/>
      <protection hidden="1"/>
    </xf>
    <xf numFmtId="0" fontId="0" fillId="35" borderId="0" xfId="0" applyFill="1" applyBorder="1" applyAlignment="1" applyProtection="1">
      <protection hidden="1"/>
    </xf>
    <xf numFmtId="0" fontId="85" fillId="53" borderId="0" xfId="108" applyFont="1" applyFill="1" applyBorder="1" applyAlignment="1" applyProtection="1">
      <alignment horizontal="left" vertical="top"/>
      <protection hidden="1"/>
    </xf>
    <xf numFmtId="0" fontId="3" fillId="35" borderId="0" xfId="86" applyFont="1" applyFill="1" applyAlignment="1" applyProtection="1">
      <alignment horizontal="left"/>
      <protection hidden="1"/>
    </xf>
    <xf numFmtId="0" fontId="3" fillId="35" borderId="0" xfId="86" applyFont="1" applyFill="1" applyAlignment="1" applyProtection="1">
      <alignment horizontal="right"/>
      <protection hidden="1"/>
    </xf>
    <xf numFmtId="0" fontId="3" fillId="35" borderId="0" xfId="0" applyFont="1" applyFill="1" applyProtection="1">
      <protection hidden="1"/>
    </xf>
    <xf numFmtId="2" fontId="3" fillId="35" borderId="0" xfId="76" applyNumberFormat="1" applyFont="1" applyFill="1" applyAlignment="1" applyProtection="1">
      <protection hidden="1"/>
    </xf>
    <xf numFmtId="0" fontId="3" fillId="51" borderId="0" xfId="0" applyFont="1" applyFill="1" applyProtection="1">
      <protection hidden="1"/>
    </xf>
    <xf numFmtId="0" fontId="3" fillId="35" borderId="0" xfId="76" applyFont="1" applyFill="1" applyAlignment="1" applyProtection="1">
      <protection hidden="1"/>
    </xf>
    <xf numFmtId="0" fontId="3" fillId="0" borderId="0" xfId="0" applyFont="1" applyAlignment="1" applyProtection="1">
      <protection hidden="1"/>
    </xf>
    <xf numFmtId="0" fontId="11" fillId="35" borderId="0" xfId="86" applyFont="1" applyFill="1" applyAlignment="1" applyProtection="1">
      <alignment horizontal="right"/>
      <protection hidden="1"/>
    </xf>
    <xf numFmtId="1" fontId="3" fillId="51" borderId="0" xfId="76" applyNumberFormat="1" applyFont="1" applyFill="1" applyAlignment="1" applyProtection="1">
      <protection hidden="1"/>
    </xf>
    <xf numFmtId="0" fontId="3" fillId="35" borderId="193" xfId="0" applyFont="1" applyFill="1" applyBorder="1" applyAlignment="1" applyProtection="1">
      <alignment horizontal="center"/>
      <protection hidden="1"/>
    </xf>
    <xf numFmtId="0" fontId="11" fillId="35" borderId="193" xfId="0" applyFont="1" applyFill="1" applyBorder="1" applyAlignment="1" applyProtection="1">
      <alignment horizontal="center"/>
      <protection hidden="1"/>
    </xf>
    <xf numFmtId="2" fontId="3" fillId="51" borderId="0" xfId="76" applyNumberFormat="1" applyFont="1" applyFill="1" applyAlignment="1" applyProtection="1">
      <protection hidden="1"/>
    </xf>
    <xf numFmtId="164" fontId="3" fillId="51" borderId="0" xfId="76" applyNumberFormat="1" applyFont="1" applyFill="1" applyAlignment="1" applyProtection="1">
      <protection hidden="1"/>
    </xf>
    <xf numFmtId="0" fontId="3" fillId="35" borderId="0" xfId="76" applyFont="1" applyFill="1" applyAlignment="1" applyProtection="1">
      <alignment horizontal="right"/>
      <protection hidden="1"/>
    </xf>
    <xf numFmtId="0" fontId="3" fillId="51" borderId="0" xfId="76" applyFont="1" applyFill="1" applyBorder="1" applyAlignment="1" applyProtection="1">
      <alignment vertical="center"/>
      <protection hidden="1"/>
    </xf>
    <xf numFmtId="0" fontId="3" fillId="35" borderId="0" xfId="76" applyFont="1" applyFill="1" applyAlignment="1" applyProtection="1">
      <alignment horizontal="left"/>
      <protection hidden="1"/>
    </xf>
    <xf numFmtId="0" fontId="3" fillId="51" borderId="0" xfId="86" applyFont="1" applyFill="1" applyAlignment="1" applyProtection="1">
      <alignment horizontal="right"/>
      <protection hidden="1"/>
    </xf>
    <xf numFmtId="0" fontId="3" fillId="0" borderId="0" xfId="0" applyFont="1" applyProtection="1">
      <protection hidden="1"/>
    </xf>
    <xf numFmtId="164" fontId="3" fillId="51" borderId="0" xfId="76" applyNumberFormat="1" applyFont="1" applyFill="1" applyBorder="1" applyAlignment="1" applyProtection="1">
      <alignment horizontal="left"/>
      <protection hidden="1"/>
    </xf>
    <xf numFmtId="0" fontId="3" fillId="35" borderId="0" xfId="86" applyFont="1" applyFill="1" applyAlignment="1" applyProtection="1">
      <protection hidden="1"/>
    </xf>
    <xf numFmtId="2" fontId="11" fillId="35" borderId="0" xfId="86" applyNumberFormat="1" applyFont="1" applyFill="1" applyBorder="1" applyAlignment="1" applyProtection="1">
      <alignment vertical="top" wrapText="1"/>
      <protection hidden="1"/>
    </xf>
    <xf numFmtId="1" fontId="3" fillId="35" borderId="0" xfId="76" applyNumberFormat="1" applyFont="1" applyFill="1" applyAlignment="1" applyProtection="1">
      <alignment horizontal="left"/>
      <protection hidden="1"/>
    </xf>
    <xf numFmtId="0" fontId="3" fillId="35" borderId="0" xfId="70" applyFont="1" applyFill="1" applyBorder="1" applyAlignment="1" applyProtection="1">
      <alignment horizontal="right"/>
      <protection hidden="1"/>
    </xf>
    <xf numFmtId="164" fontId="3" fillId="35" borderId="0" xfId="76" applyNumberFormat="1" applyFont="1" applyFill="1" applyAlignment="1" applyProtection="1">
      <protection hidden="1"/>
    </xf>
    <xf numFmtId="0" fontId="13" fillId="0" borderId="0" xfId="106" applyFont="1" applyAlignment="1" applyProtection="1">
      <protection hidden="1"/>
    </xf>
    <xf numFmtId="0" fontId="3" fillId="35" borderId="0" xfId="76" applyFont="1" applyFill="1" applyBorder="1" applyAlignment="1" applyProtection="1">
      <alignment horizontal="right"/>
      <protection hidden="1"/>
    </xf>
    <xf numFmtId="0" fontId="3" fillId="35" borderId="0" xfId="0" applyFont="1" applyFill="1" applyAlignment="1" applyProtection="1">
      <alignment horizontal="left"/>
      <protection hidden="1"/>
    </xf>
    <xf numFmtId="1" fontId="3" fillId="35" borderId="0" xfId="76" applyNumberFormat="1" applyFont="1" applyFill="1" applyAlignment="1" applyProtection="1">
      <protection hidden="1"/>
    </xf>
    <xf numFmtId="0" fontId="3" fillId="51" borderId="0" xfId="86" applyFont="1" applyFill="1" applyAlignment="1" applyProtection="1">
      <alignment horizontal="left"/>
      <protection hidden="1"/>
    </xf>
    <xf numFmtId="0" fontId="3" fillId="0" borderId="10" xfId="0" applyFont="1" applyBorder="1" applyProtection="1">
      <protection hidden="1"/>
    </xf>
    <xf numFmtId="0" fontId="3" fillId="0" borderId="24" xfId="0" applyFont="1" applyBorder="1" applyProtection="1">
      <protection hidden="1"/>
    </xf>
    <xf numFmtId="0" fontId="13" fillId="35" borderId="0" xfId="86" applyFont="1" applyFill="1" applyAlignment="1" applyProtection="1">
      <alignment horizontal="right"/>
      <protection hidden="1"/>
    </xf>
    <xf numFmtId="0" fontId="3" fillId="0" borderId="0" xfId="76" applyFont="1" applyFill="1" applyBorder="1" applyAlignment="1" applyProtection="1">
      <alignment horizontal="center"/>
      <protection hidden="1"/>
    </xf>
    <xf numFmtId="0" fontId="3" fillId="0" borderId="0" xfId="84" applyFont="1" applyFill="1" applyBorder="1" applyAlignment="1" applyProtection="1">
      <protection hidden="1"/>
    </xf>
    <xf numFmtId="0" fontId="256" fillId="35" borderId="0" xfId="0" applyFont="1" applyFill="1" applyAlignment="1" applyProtection="1">
      <protection hidden="1"/>
    </xf>
    <xf numFmtId="0" fontId="115" fillId="35" borderId="0" xfId="50" applyFont="1" applyFill="1" applyAlignment="1" applyProtection="1">
      <alignment horizontal="right"/>
      <protection hidden="1"/>
    </xf>
    <xf numFmtId="0" fontId="40" fillId="7" borderId="0" xfId="0" applyFont="1" applyFill="1" applyAlignment="1" applyProtection="1">
      <protection hidden="1"/>
    </xf>
    <xf numFmtId="0" fontId="3" fillId="35" borderId="0" xfId="0" applyFont="1" applyFill="1" applyAlignment="1" applyProtection="1">
      <alignment horizontal="right"/>
      <protection hidden="1"/>
    </xf>
    <xf numFmtId="0" fontId="3" fillId="51" borderId="0" xfId="76" applyFont="1" applyFill="1" applyAlignment="1" applyProtection="1">
      <alignment horizontal="right"/>
      <protection hidden="1"/>
    </xf>
    <xf numFmtId="0" fontId="3" fillId="51" borderId="0" xfId="76" applyFont="1" applyFill="1" applyBorder="1" applyAlignment="1" applyProtection="1">
      <alignment horizontal="right" vertical="center"/>
      <protection hidden="1"/>
    </xf>
    <xf numFmtId="0" fontId="11" fillId="51" borderId="0" xfId="0" applyFont="1" applyFill="1" applyBorder="1" applyAlignment="1" applyProtection="1">
      <alignment horizontal="center" vertical="top" wrapText="1"/>
      <protection hidden="1"/>
    </xf>
    <xf numFmtId="0" fontId="139" fillId="51" borderId="0" xfId="46" applyFont="1" applyFill="1" applyAlignment="1" applyProtection="1">
      <alignment horizontal="left"/>
      <protection hidden="1"/>
    </xf>
    <xf numFmtId="0" fontId="115" fillId="35" borderId="0" xfId="50" applyFont="1" applyFill="1" applyBorder="1" applyAlignment="1" applyProtection="1">
      <alignment horizontal="left"/>
      <protection hidden="1"/>
    </xf>
    <xf numFmtId="0" fontId="135" fillId="35" borderId="0" xfId="81" applyNumberFormat="1" applyFont="1" applyFill="1" applyAlignment="1" applyProtection="1">
      <alignment horizontal="center"/>
      <protection hidden="1"/>
    </xf>
    <xf numFmtId="0" fontId="3" fillId="35" borderId="0" xfId="81" applyFont="1" applyFill="1" applyAlignment="1" applyProtection="1">
      <protection hidden="1"/>
    </xf>
    <xf numFmtId="0" fontId="3" fillId="35" borderId="0" xfId="81" applyFont="1" applyFill="1" applyAlignment="1" applyProtection="1">
      <alignment horizontal="left"/>
      <protection hidden="1"/>
    </xf>
    <xf numFmtId="0" fontId="3" fillId="35" borderId="0" xfId="81" applyFont="1" applyFill="1" applyAlignment="1" applyProtection="1">
      <alignment horizontal="left" vertical="center" wrapText="1"/>
      <protection hidden="1"/>
    </xf>
    <xf numFmtId="0" fontId="47" fillId="44" borderId="225" xfId="108" applyFont="1" applyFill="1" applyBorder="1" applyAlignment="1" applyProtection="1">
      <alignment horizontal="center"/>
      <protection locked="0"/>
    </xf>
    <xf numFmtId="0" fontId="47" fillId="44" borderId="191" xfId="108" applyFont="1" applyFill="1" applyBorder="1" applyAlignment="1" applyProtection="1">
      <alignment horizontal="center"/>
      <protection locked="0"/>
    </xf>
    <xf numFmtId="0" fontId="47" fillId="44" borderId="192" xfId="108" applyFont="1" applyFill="1" applyBorder="1" applyAlignment="1" applyProtection="1">
      <alignment horizontal="center"/>
      <protection locked="0"/>
    </xf>
    <xf numFmtId="0" fontId="47" fillId="44" borderId="11" xfId="0" applyFont="1" applyFill="1" applyBorder="1" applyAlignment="1" applyProtection="1">
      <alignment horizontal="center"/>
      <protection locked="0"/>
    </xf>
    <xf numFmtId="0" fontId="47" fillId="44" borderId="16" xfId="0" applyFont="1" applyFill="1" applyBorder="1" applyAlignment="1" applyProtection="1">
      <alignment horizontal="center"/>
      <protection locked="0"/>
    </xf>
    <xf numFmtId="0" fontId="47" fillId="37" borderId="12" xfId="0" applyFont="1" applyFill="1" applyBorder="1" applyAlignment="1" applyProtection="1">
      <alignment horizontal="center"/>
      <protection locked="0"/>
    </xf>
    <xf numFmtId="0" fontId="47" fillId="37" borderId="0" xfId="0" applyFont="1" applyFill="1" applyAlignment="1" applyProtection="1">
      <alignment horizontal="center"/>
      <protection locked="0"/>
    </xf>
    <xf numFmtId="0" fontId="47" fillId="44" borderId="13" xfId="0" applyFont="1" applyFill="1" applyBorder="1" applyAlignment="1" applyProtection="1">
      <alignment horizontal="center"/>
      <protection locked="0"/>
    </xf>
    <xf numFmtId="0" fontId="3" fillId="51" borderId="0" xfId="84" applyFill="1" applyProtection="1">
      <protection locked="0"/>
    </xf>
    <xf numFmtId="2" fontId="3" fillId="71" borderId="52" xfId="69" applyNumberFormat="1" applyFont="1" applyFill="1" applyBorder="1" applyAlignment="1" applyProtection="1">
      <alignment horizontal="right"/>
      <protection locked="0"/>
    </xf>
    <xf numFmtId="2" fontId="3" fillId="41" borderId="124" xfId="69" applyNumberFormat="1" applyFont="1" applyFill="1" applyBorder="1" applyAlignment="1" applyProtection="1">
      <alignment horizontal="center"/>
      <protection locked="0"/>
    </xf>
    <xf numFmtId="0" fontId="3" fillId="35" borderId="0" xfId="86" applyFont="1" applyFill="1" applyProtection="1">
      <protection locked="0"/>
    </xf>
    <xf numFmtId="0" fontId="3" fillId="35" borderId="0" xfId="86" applyFont="1" applyFill="1" applyAlignment="1" applyProtection="1">
      <protection locked="0"/>
    </xf>
    <xf numFmtId="0" fontId="3" fillId="35" borderId="0" xfId="76" applyFont="1" applyFill="1" applyAlignment="1" applyProtection="1">
      <protection locked="0"/>
    </xf>
    <xf numFmtId="164" fontId="3" fillId="35" borderId="0" xfId="76" applyNumberFormat="1" applyFont="1" applyFill="1" applyAlignment="1" applyProtection="1">
      <protection locked="0"/>
    </xf>
    <xf numFmtId="0" fontId="3" fillId="35" borderId="17" xfId="69" applyFont="1" applyFill="1" applyBorder="1" applyAlignment="1" applyProtection="1">
      <alignment horizontal="center"/>
      <protection locked="0"/>
    </xf>
    <xf numFmtId="0" fontId="171" fillId="0" borderId="17" xfId="0" applyFont="1" applyBorder="1" applyAlignment="1" applyProtection="1">
      <alignment horizontal="center"/>
      <protection hidden="1"/>
    </xf>
    <xf numFmtId="0" fontId="245" fillId="35" borderId="17" xfId="69" applyFont="1" applyFill="1" applyBorder="1" applyAlignment="1" applyProtection="1">
      <alignment horizontal="center"/>
      <protection hidden="1"/>
    </xf>
    <xf numFmtId="0" fontId="171" fillId="35" borderId="0" xfId="81" applyNumberFormat="1" applyFont="1" applyFill="1" applyAlignment="1" applyProtection="1">
      <alignment horizontal="right"/>
      <protection hidden="1"/>
    </xf>
    <xf numFmtId="0" fontId="25" fillId="42" borderId="0" xfId="46" applyFont="1" applyFill="1" applyAlignment="1" applyProtection="1">
      <alignment horizontal="left"/>
      <protection hidden="1"/>
    </xf>
    <xf numFmtId="0" fontId="47" fillId="42" borderId="0" xfId="67" applyFont="1" applyFill="1" applyProtection="1">
      <protection hidden="1"/>
    </xf>
    <xf numFmtId="0" fontId="25" fillId="35" borderId="0" xfId="46" applyFont="1" applyFill="1" applyAlignment="1" applyProtection="1">
      <alignment horizontal="right"/>
      <protection hidden="1"/>
    </xf>
    <xf numFmtId="0" fontId="131" fillId="35" borderId="0" xfId="66" applyFont="1" applyFill="1" applyBorder="1" applyAlignment="1" applyProtection="1">
      <alignment horizontal="left"/>
      <protection hidden="1"/>
    </xf>
    <xf numFmtId="0" fontId="0" fillId="35" borderId="0" xfId="0" applyFill="1" applyAlignment="1" applyProtection="1">
      <protection hidden="1"/>
    </xf>
    <xf numFmtId="0" fontId="25" fillId="35" borderId="0" xfId="46" applyFont="1" applyFill="1" applyAlignment="1" applyProtection="1">
      <protection hidden="1"/>
    </xf>
    <xf numFmtId="0" fontId="0" fillId="0" borderId="0" xfId="0" applyBorder="1" applyProtection="1">
      <protection hidden="1"/>
    </xf>
    <xf numFmtId="0" fontId="47" fillId="42" borderId="162" xfId="67" applyFont="1" applyFill="1" applyBorder="1" applyAlignment="1" applyProtection="1">
      <alignment horizontal="center"/>
      <protection hidden="1"/>
    </xf>
    <xf numFmtId="0" fontId="47" fillId="0" borderId="193" xfId="0" applyFont="1" applyBorder="1" applyAlignment="1" applyProtection="1">
      <alignment horizontal="center"/>
      <protection hidden="1"/>
    </xf>
    <xf numFmtId="0" fontId="1" fillId="35" borderId="0" xfId="69" applyFill="1" applyProtection="1">
      <protection hidden="1"/>
    </xf>
    <xf numFmtId="0" fontId="52" fillId="35" borderId="0" xfId="46" applyFont="1" applyFill="1" applyAlignment="1" applyProtection="1">
      <protection hidden="1"/>
    </xf>
    <xf numFmtId="0" fontId="47" fillId="0" borderId="17" xfId="67" applyFont="1" applyBorder="1" applyAlignment="1" applyProtection="1">
      <alignment horizontal="center"/>
      <protection hidden="1"/>
    </xf>
    <xf numFmtId="0" fontId="195" fillId="45" borderId="0" xfId="0" applyFont="1" applyFill="1" applyProtection="1">
      <protection hidden="1"/>
    </xf>
    <xf numFmtId="0" fontId="0" fillId="0" borderId="0" xfId="0" applyProtection="1">
      <protection hidden="1"/>
    </xf>
    <xf numFmtId="0" fontId="0" fillId="35" borderId="0" xfId="0" applyFill="1" applyBorder="1" applyAlignment="1" applyProtection="1">
      <protection hidden="1"/>
    </xf>
    <xf numFmtId="2" fontId="191" fillId="42" borderId="0" xfId="215" applyNumberFormat="1" applyFont="1" applyFill="1" applyProtection="1">
      <protection locked="0"/>
    </xf>
    <xf numFmtId="0" fontId="28" fillId="51" borderId="0" xfId="283" applyFill="1" applyProtection="1">
      <protection locked="0"/>
    </xf>
    <xf numFmtId="0" fontId="1" fillId="51" borderId="0" xfId="282" applyFont="1" applyFill="1" applyProtection="1">
      <protection locked="0"/>
    </xf>
    <xf numFmtId="0" fontId="28" fillId="55" borderId="125" xfId="284" applyFont="1" applyFill="1" applyBorder="1" applyProtection="1">
      <protection locked="0"/>
    </xf>
    <xf numFmtId="0" fontId="28" fillId="54" borderId="126" xfId="284" applyFont="1" applyFill="1" applyBorder="1" applyProtection="1">
      <protection locked="0"/>
    </xf>
    <xf numFmtId="0" fontId="28" fillId="54" borderId="0" xfId="284" applyFont="1" applyFill="1" applyBorder="1" applyProtection="1">
      <protection locked="0"/>
    </xf>
    <xf numFmtId="0" fontId="214" fillId="56" borderId="0" xfId="283" applyFont="1" applyFill="1" applyProtection="1">
      <protection locked="0"/>
    </xf>
    <xf numFmtId="0" fontId="28" fillId="56" borderId="0" xfId="283" applyFill="1" applyProtection="1">
      <protection locked="0"/>
    </xf>
    <xf numFmtId="166" fontId="28" fillId="57" borderId="0" xfId="283" applyNumberFormat="1" applyFont="1" applyFill="1" applyProtection="1">
      <protection locked="0"/>
    </xf>
    <xf numFmtId="2" fontId="28" fillId="51" borderId="127" xfId="206" applyNumberFormat="1" applyFont="1" applyFill="1" applyBorder="1" applyProtection="1">
      <protection locked="0"/>
    </xf>
    <xf numFmtId="2" fontId="28" fillId="51" borderId="128" xfId="283" applyNumberFormat="1" applyFont="1" applyFill="1" applyBorder="1" applyProtection="1">
      <protection locked="0"/>
    </xf>
    <xf numFmtId="0" fontId="28" fillId="0" borderId="0" xfId="283" applyProtection="1">
      <protection locked="0"/>
    </xf>
    <xf numFmtId="0" fontId="214" fillId="56" borderId="0" xfId="283" applyFont="1" applyFill="1" applyAlignment="1" applyProtection="1">
      <alignment wrapText="1"/>
      <protection locked="0"/>
    </xf>
    <xf numFmtId="11" fontId="28" fillId="56" borderId="0" xfId="283" applyNumberFormat="1" applyFill="1" applyProtection="1">
      <protection locked="0"/>
    </xf>
    <xf numFmtId="0" fontId="0" fillId="0" borderId="0" xfId="0" applyProtection="1">
      <protection hidden="1"/>
    </xf>
    <xf numFmtId="0" fontId="3" fillId="7" borderId="0" xfId="0" quotePrefix="1" applyFont="1" applyFill="1" applyAlignment="1" applyProtection="1">
      <protection locked="0"/>
    </xf>
    <xf numFmtId="0" fontId="157" fillId="51" borderId="0" xfId="108" applyFont="1" applyFill="1" applyBorder="1" applyAlignment="1" applyProtection="1">
      <alignment horizontal="left"/>
      <protection hidden="1"/>
    </xf>
    <xf numFmtId="0" fontId="308" fillId="71" borderId="16" xfId="343" applyFont="1" applyFill="1" applyBorder="1" applyAlignment="1" applyProtection="1">
      <alignment horizontal="right"/>
      <protection locked="0"/>
    </xf>
    <xf numFmtId="0" fontId="157" fillId="53" borderId="0" xfId="215" applyFont="1" applyFill="1" applyAlignment="1" applyProtection="1">
      <alignment horizontal="center"/>
      <protection hidden="1"/>
    </xf>
    <xf numFmtId="0" fontId="146" fillId="53" borderId="0" xfId="103" applyFont="1" applyFill="1" applyProtection="1">
      <protection hidden="1"/>
    </xf>
    <xf numFmtId="0" fontId="85" fillId="53" borderId="0" xfId="103" applyFill="1" applyAlignment="1" applyProtection="1">
      <alignment horizontal="center"/>
      <protection hidden="1"/>
    </xf>
    <xf numFmtId="0" fontId="40" fillId="35" borderId="0" xfId="81" applyFont="1" applyFill="1" applyAlignment="1" applyProtection="1">
      <alignment horizontal="left"/>
      <protection hidden="1"/>
    </xf>
    <xf numFmtId="165" fontId="206" fillId="51" borderId="0" xfId="103" applyNumberFormat="1" applyFont="1" applyFill="1" applyAlignment="1" applyProtection="1">
      <protection hidden="1"/>
    </xf>
    <xf numFmtId="165" fontId="178" fillId="51" borderId="0" xfId="103" applyNumberFormat="1" applyFont="1" applyFill="1" applyAlignment="1" applyProtection="1">
      <protection hidden="1"/>
    </xf>
    <xf numFmtId="14" fontId="6" fillId="51" borderId="0" xfId="108" applyNumberFormat="1" applyFont="1" applyFill="1" applyProtection="1">
      <protection hidden="1"/>
    </xf>
    <xf numFmtId="0" fontId="161" fillId="51" borderId="0" xfId="103" applyFont="1" applyFill="1" applyAlignment="1" applyProtection="1">
      <alignment horizontal="center" wrapText="1"/>
      <protection hidden="1"/>
    </xf>
    <xf numFmtId="165" fontId="191" fillId="51" borderId="0" xfId="103" applyNumberFormat="1" applyFont="1" applyFill="1" applyAlignment="1" applyProtection="1">
      <alignment horizontal="center"/>
      <protection hidden="1"/>
    </xf>
    <xf numFmtId="0" fontId="191" fillId="51" borderId="0" xfId="103" applyFont="1" applyFill="1" applyAlignment="1" applyProtection="1">
      <alignment horizontal="center"/>
      <protection hidden="1"/>
    </xf>
    <xf numFmtId="0" fontId="146" fillId="53" borderId="16" xfId="103" applyFont="1" applyFill="1" applyBorder="1" applyAlignment="1" applyProtection="1">
      <alignment horizontal="center"/>
      <protection hidden="1"/>
    </xf>
    <xf numFmtId="0" fontId="85" fillId="44" borderId="257" xfId="104" applyFont="1" applyFill="1" applyBorder="1" applyAlignment="1" applyProtection="1">
      <alignment horizontal="left"/>
      <protection locked="0"/>
    </xf>
    <xf numFmtId="0" fontId="85" fillId="42" borderId="0" xfId="104" applyFont="1" applyFill="1" applyProtection="1">
      <protection hidden="1"/>
    </xf>
    <xf numFmtId="0" fontId="85" fillId="42" borderId="0" xfId="103" applyFill="1" applyAlignment="1" applyProtection="1">
      <alignment horizontal="center"/>
      <protection hidden="1"/>
    </xf>
    <xf numFmtId="0" fontId="85" fillId="42" borderId="0" xfId="103" applyFill="1" applyProtection="1">
      <protection hidden="1"/>
    </xf>
    <xf numFmtId="0" fontId="309" fillId="35" borderId="0" xfId="108" applyFont="1" applyFill="1" applyBorder="1" applyAlignment="1" applyProtection="1">
      <alignment vertical="center" wrapText="1"/>
      <protection hidden="1"/>
    </xf>
    <xf numFmtId="2" fontId="85" fillId="42" borderId="257" xfId="104" applyNumberFormat="1" applyFont="1" applyFill="1" applyBorder="1" applyAlignment="1" applyProtection="1">
      <alignment horizontal="center"/>
      <protection hidden="1"/>
    </xf>
    <xf numFmtId="0" fontId="1" fillId="42" borderId="0" xfId="104" applyFont="1" applyFill="1" applyProtection="1">
      <protection hidden="1"/>
    </xf>
    <xf numFmtId="0" fontId="50" fillId="42" borderId="167" xfId="104" applyFont="1" applyFill="1" applyBorder="1" applyAlignment="1" applyProtection="1">
      <alignment horizontal="center"/>
      <protection hidden="1"/>
    </xf>
    <xf numFmtId="0" fontId="50" fillId="42" borderId="16" xfId="104" applyFont="1" applyFill="1" applyBorder="1" applyAlignment="1" applyProtection="1">
      <alignment horizontal="center"/>
      <protection hidden="1"/>
    </xf>
    <xf numFmtId="0" fontId="50" fillId="42" borderId="167" xfId="103" applyFont="1" applyFill="1" applyBorder="1" applyAlignment="1" applyProtection="1">
      <alignment horizontal="center"/>
      <protection hidden="1"/>
    </xf>
    <xf numFmtId="0" fontId="1" fillId="42" borderId="0" xfId="103" applyFont="1" applyFill="1" applyProtection="1">
      <protection hidden="1"/>
    </xf>
    <xf numFmtId="2" fontId="1" fillId="42" borderId="0" xfId="103" applyNumberFormat="1" applyFont="1" applyFill="1" applyProtection="1">
      <protection hidden="1"/>
    </xf>
    <xf numFmtId="0" fontId="50" fillId="42" borderId="179" xfId="103" applyFont="1" applyFill="1" applyBorder="1" applyAlignment="1" applyProtection="1">
      <alignment horizontal="center"/>
      <protection hidden="1"/>
    </xf>
    <xf numFmtId="2" fontId="85" fillId="0" borderId="257" xfId="108" applyNumberFormat="1" applyFont="1" applyBorder="1" applyAlignment="1" applyProtection="1">
      <alignment horizontal="center"/>
      <protection hidden="1"/>
    </xf>
    <xf numFmtId="165" fontId="85" fillId="0" borderId="257" xfId="108" applyNumberFormat="1" applyFont="1" applyBorder="1" applyAlignment="1" applyProtection="1">
      <alignment horizontal="center"/>
      <protection hidden="1"/>
    </xf>
    <xf numFmtId="0" fontId="1" fillId="53" borderId="0" xfId="104" applyFont="1" applyFill="1" applyProtection="1">
      <protection hidden="1"/>
    </xf>
    <xf numFmtId="165" fontId="1" fillId="42" borderId="0" xfId="103" applyNumberFormat="1" applyFont="1" applyFill="1" applyProtection="1">
      <protection hidden="1"/>
    </xf>
    <xf numFmtId="2" fontId="85" fillId="44" borderId="257" xfId="108" applyNumberFormat="1" applyFont="1" applyFill="1" applyBorder="1" applyAlignment="1" applyProtection="1">
      <alignment horizontal="center"/>
      <protection locked="0"/>
    </xf>
    <xf numFmtId="0" fontId="85" fillId="42" borderId="257" xfId="104" applyFont="1" applyFill="1" applyBorder="1" applyAlignment="1" applyProtection="1">
      <alignment horizontal="center"/>
      <protection hidden="1"/>
    </xf>
    <xf numFmtId="1" fontId="94" fillId="42" borderId="0" xfId="103" applyNumberFormat="1" applyFont="1" applyFill="1" applyProtection="1">
      <protection hidden="1"/>
    </xf>
    <xf numFmtId="0" fontId="85" fillId="44" borderId="257" xfId="104" applyFont="1" applyFill="1" applyBorder="1" applyAlignment="1" applyProtection="1">
      <alignment horizontal="center"/>
      <protection locked="0"/>
    </xf>
    <xf numFmtId="2" fontId="85" fillId="42" borderId="179" xfId="104" applyNumberFormat="1" applyFont="1" applyFill="1" applyBorder="1" applyAlignment="1" applyProtection="1">
      <alignment horizontal="center"/>
      <protection hidden="1"/>
    </xf>
    <xf numFmtId="2" fontId="85" fillId="44" borderId="179" xfId="104" applyNumberFormat="1" applyFont="1" applyFill="1" applyBorder="1" applyAlignment="1" applyProtection="1">
      <alignment horizontal="center"/>
      <protection locked="0"/>
    </xf>
    <xf numFmtId="164" fontId="94" fillId="42" borderId="0" xfId="104" applyNumberFormat="1" applyFont="1" applyFill="1" applyAlignment="1" applyProtection="1">
      <alignment horizontal="right"/>
      <protection hidden="1"/>
    </xf>
    <xf numFmtId="0" fontId="85" fillId="42" borderId="257" xfId="108" applyFont="1" applyFill="1" applyBorder="1" applyAlignment="1" applyProtection="1">
      <alignment horizontal="center"/>
      <protection hidden="1"/>
    </xf>
    <xf numFmtId="164" fontId="85" fillId="42" borderId="0" xfId="104" applyNumberFormat="1" applyFont="1" applyFill="1" applyAlignment="1" applyProtection="1">
      <alignment horizontal="center"/>
      <protection hidden="1"/>
    </xf>
    <xf numFmtId="1" fontId="85" fillId="42" borderId="257" xfId="104" applyNumberFormat="1" applyFont="1" applyFill="1" applyBorder="1" applyAlignment="1" applyProtection="1">
      <alignment horizontal="center"/>
      <protection hidden="1"/>
    </xf>
    <xf numFmtId="2" fontId="85" fillId="42" borderId="257" xfId="103" applyNumberFormat="1" applyFill="1" applyBorder="1" applyAlignment="1" applyProtection="1">
      <alignment horizontal="center"/>
      <protection hidden="1"/>
    </xf>
    <xf numFmtId="2" fontId="85" fillId="42" borderId="260" xfId="104" applyNumberFormat="1" applyFont="1" applyFill="1" applyBorder="1" applyAlignment="1" applyProtection="1">
      <alignment horizontal="center"/>
      <protection hidden="1"/>
    </xf>
    <xf numFmtId="2" fontId="85" fillId="44" borderId="257" xfId="104" applyNumberFormat="1" applyFont="1" applyFill="1" applyBorder="1" applyAlignment="1" applyProtection="1">
      <alignment horizontal="center"/>
      <protection locked="0"/>
    </xf>
    <xf numFmtId="2" fontId="85" fillId="42" borderId="259" xfId="104" applyNumberFormat="1" applyFont="1" applyFill="1" applyBorder="1" applyAlignment="1" applyProtection="1">
      <alignment horizontal="center"/>
      <protection hidden="1"/>
    </xf>
    <xf numFmtId="0" fontId="85" fillId="53" borderId="0" xfId="104" applyFont="1" applyFill="1" applyProtection="1">
      <protection hidden="1"/>
    </xf>
    <xf numFmtId="0" fontId="85" fillId="44" borderId="257" xfId="103" applyFill="1" applyBorder="1" applyAlignment="1" applyProtection="1">
      <alignment horizontal="left" wrapText="1"/>
      <protection locked="0"/>
    </xf>
    <xf numFmtId="0" fontId="85" fillId="42" borderId="0" xfId="108" applyFont="1" applyFill="1" applyAlignment="1" applyProtection="1">
      <alignment horizontal="left" vertical="top" wrapText="1"/>
      <protection hidden="1"/>
    </xf>
    <xf numFmtId="0" fontId="85" fillId="71" borderId="257" xfId="108" applyFont="1" applyFill="1" applyBorder="1" applyAlignment="1" applyProtection="1">
      <alignment horizontal="center"/>
      <protection locked="0"/>
    </xf>
    <xf numFmtId="0" fontId="85" fillId="53" borderId="257" xfId="108" applyFont="1" applyFill="1" applyBorder="1" applyAlignment="1" applyProtection="1">
      <alignment horizontal="center"/>
      <protection hidden="1"/>
    </xf>
    <xf numFmtId="2" fontId="85" fillId="42" borderId="260" xfId="108" applyNumberFormat="1" applyFont="1" applyFill="1" applyBorder="1" applyAlignment="1" applyProtection="1">
      <alignment horizontal="center"/>
      <protection hidden="1"/>
    </xf>
    <xf numFmtId="0" fontId="85" fillId="44" borderId="260" xfId="104" applyFont="1" applyFill="1" applyBorder="1" applyAlignment="1" applyProtection="1">
      <alignment horizontal="left"/>
      <protection locked="0"/>
    </xf>
    <xf numFmtId="2" fontId="170" fillId="42" borderId="257" xfId="104" applyNumberFormat="1" applyFont="1" applyFill="1" applyBorder="1" applyAlignment="1" applyProtection="1">
      <alignment horizontal="center"/>
      <protection hidden="1"/>
    </xf>
    <xf numFmtId="2" fontId="170" fillId="42" borderId="257" xfId="215" applyNumberFormat="1" applyFont="1" applyFill="1" applyBorder="1" applyAlignment="1" applyProtection="1">
      <alignment horizontal="center" wrapText="1"/>
      <protection hidden="1"/>
    </xf>
    <xf numFmtId="167" fontId="14" fillId="44" borderId="0" xfId="103" applyNumberFormat="1" applyFont="1" applyFill="1" applyAlignment="1" applyProtection="1">
      <alignment horizontal="center" vertical="center" wrapText="1"/>
      <protection locked="0"/>
    </xf>
    <xf numFmtId="165" fontId="85" fillId="53" borderId="0" xfId="103" applyNumberFormat="1" applyFill="1" applyAlignment="1" applyProtection="1">
      <alignment horizontal="left" vertical="center" wrapText="1"/>
      <protection hidden="1"/>
    </xf>
    <xf numFmtId="0" fontId="1" fillId="53" borderId="0" xfId="108" applyFont="1" applyFill="1" applyAlignment="1" applyProtection="1">
      <alignment horizontal="right" vertical="top"/>
      <protection hidden="1"/>
    </xf>
    <xf numFmtId="167" fontId="1" fillId="53" borderId="0" xfId="103" applyNumberFormat="1" applyFont="1" applyFill="1" applyAlignment="1" applyProtection="1">
      <alignment horizontal="center" vertical="center" wrapText="1"/>
      <protection hidden="1"/>
    </xf>
    <xf numFmtId="0" fontId="85" fillId="53" borderId="0" xfId="103" applyFill="1" applyProtection="1">
      <protection hidden="1"/>
    </xf>
    <xf numFmtId="165" fontId="85" fillId="53" borderId="0" xfId="103" applyNumberFormat="1" applyFill="1" applyProtection="1">
      <protection hidden="1"/>
    </xf>
    <xf numFmtId="0" fontId="47" fillId="51" borderId="0" xfId="108" applyFill="1" applyAlignment="1" applyProtection="1">
      <alignment horizontal="left"/>
      <protection hidden="1"/>
    </xf>
    <xf numFmtId="167" fontId="14" fillId="44" borderId="0" xfId="103" applyNumberFormat="1" applyFont="1" applyFill="1" applyAlignment="1" applyProtection="1">
      <alignment horizontal="center" vertical="top"/>
      <protection locked="0"/>
    </xf>
    <xf numFmtId="165" fontId="85" fillId="42" borderId="0" xfId="103" applyNumberFormat="1" applyFill="1" applyAlignment="1" applyProtection="1">
      <alignment horizontal="left" vertical="top" wrapText="1"/>
      <protection hidden="1"/>
    </xf>
    <xf numFmtId="167" fontId="1" fillId="53" borderId="0" xfId="103" applyNumberFormat="1" applyFont="1" applyFill="1" applyAlignment="1" applyProtection="1">
      <alignment horizontal="center" vertical="top"/>
      <protection hidden="1"/>
    </xf>
    <xf numFmtId="0" fontId="195" fillId="53" borderId="0" xfId="108" applyFont="1" applyFill="1" applyAlignment="1" applyProtection="1">
      <protection hidden="1"/>
    </xf>
    <xf numFmtId="0" fontId="47" fillId="51" borderId="0" xfId="108" applyFont="1" applyFill="1" applyAlignment="1" applyProtection="1">
      <alignment horizontal="left" vertical="top" wrapText="1"/>
      <protection hidden="1"/>
    </xf>
    <xf numFmtId="0" fontId="47" fillId="51" borderId="0" xfId="108" applyFont="1" applyFill="1" applyProtection="1">
      <protection hidden="1"/>
    </xf>
    <xf numFmtId="0" fontId="47" fillId="51" borderId="0" xfId="103" applyFont="1" applyFill="1" applyProtection="1">
      <protection hidden="1"/>
    </xf>
    <xf numFmtId="0" fontId="47" fillId="51" borderId="0" xfId="108" applyFont="1" applyFill="1" applyAlignment="1" applyProtection="1">
      <alignment horizontal="center"/>
      <protection hidden="1"/>
    </xf>
    <xf numFmtId="165" fontId="47" fillId="51" borderId="0" xfId="345" applyNumberFormat="1" applyFont="1" applyFill="1" applyProtection="1">
      <protection hidden="1"/>
    </xf>
    <xf numFmtId="165" fontId="3" fillId="51" borderId="0" xfId="345" applyNumberFormat="1" applyFont="1" applyFill="1" applyProtection="1">
      <protection hidden="1"/>
    </xf>
    <xf numFmtId="165" fontId="47" fillId="51" borderId="0" xfId="103" applyNumberFormat="1" applyFont="1" applyFill="1" applyProtection="1">
      <protection hidden="1"/>
    </xf>
    <xf numFmtId="0" fontId="47" fillId="0" borderId="0" xfId="108"/>
    <xf numFmtId="0" fontId="40" fillId="35" borderId="0" xfId="81" applyFont="1" applyFill="1" applyAlignment="1" applyProtection="1">
      <alignment horizontal="center"/>
      <protection hidden="1"/>
    </xf>
    <xf numFmtId="0" fontId="52" fillId="35" borderId="0" xfId="46" applyFont="1" applyFill="1" applyAlignment="1" applyProtection="1">
      <protection hidden="1"/>
    </xf>
    <xf numFmtId="2" fontId="169" fillId="52" borderId="52" xfId="76" applyNumberFormat="1" applyFont="1" applyFill="1" applyBorder="1" applyAlignment="1" applyProtection="1">
      <alignment horizontal="center"/>
      <protection locked="0"/>
    </xf>
    <xf numFmtId="9" fontId="15" fillId="7" borderId="13" xfId="76" applyNumberFormat="1" applyFont="1" applyFill="1" applyBorder="1" applyAlignment="1" applyProtection="1">
      <alignment horizontal="right"/>
      <protection locked="0"/>
    </xf>
    <xf numFmtId="9" fontId="15" fillId="7" borderId="13" xfId="76" applyNumberFormat="1" applyFont="1" applyFill="1" applyBorder="1" applyAlignment="1" applyProtection="1">
      <protection locked="0"/>
    </xf>
    <xf numFmtId="9" fontId="3" fillId="7" borderId="13" xfId="86" applyNumberFormat="1" applyFont="1" applyFill="1" applyBorder="1" applyAlignment="1" applyProtection="1">
      <protection locked="0"/>
    </xf>
    <xf numFmtId="0" fontId="13" fillId="0" borderId="0" xfId="76" applyFont="1" applyFill="1" applyBorder="1" applyAlignment="1" applyProtection="1">
      <alignment horizontal="center"/>
      <protection locked="0"/>
    </xf>
    <xf numFmtId="0" fontId="13" fillId="0" borderId="0" xfId="76" applyFont="1" applyBorder="1" applyAlignment="1" applyProtection="1">
      <alignment horizontal="center"/>
      <protection locked="0"/>
    </xf>
    <xf numFmtId="0" fontId="3" fillId="7" borderId="0" xfId="71" applyFont="1" applyFill="1" applyAlignment="1" applyProtection="1">
      <protection locked="0"/>
    </xf>
    <xf numFmtId="1" fontId="3" fillId="41" borderId="0" xfId="76" applyNumberFormat="1" applyFont="1" applyFill="1" applyBorder="1" applyAlignment="1" applyProtection="1">
      <alignment horizontal="center"/>
      <protection locked="0"/>
    </xf>
    <xf numFmtId="0" fontId="3" fillId="35" borderId="0" xfId="0" applyFont="1" applyFill="1" applyBorder="1" applyAlignment="1" applyProtection="1">
      <protection locked="0"/>
    </xf>
    <xf numFmtId="0" fontId="47" fillId="37" borderId="225" xfId="108" applyNumberFormat="1" applyFont="1" applyFill="1" applyBorder="1" applyAlignment="1" applyProtection="1">
      <alignment horizontal="center"/>
      <protection locked="0"/>
    </xf>
    <xf numFmtId="0" fontId="47" fillId="37" borderId="251" xfId="108" applyNumberFormat="1" applyFont="1" applyFill="1" applyBorder="1" applyAlignment="1" applyProtection="1">
      <alignment horizontal="center"/>
      <protection locked="0"/>
    </xf>
    <xf numFmtId="164" fontId="85" fillId="71" borderId="257" xfId="108" applyNumberFormat="1" applyFont="1" applyFill="1" applyBorder="1" applyAlignment="1" applyProtection="1">
      <alignment horizontal="center"/>
      <protection locked="0"/>
    </xf>
    <xf numFmtId="0" fontId="1" fillId="51" borderId="0" xfId="343" applyFont="1" applyFill="1" applyProtection="1">
      <protection hidden="1"/>
    </xf>
    <xf numFmtId="0" fontId="85" fillId="0" borderId="0" xfId="343" applyFont="1" applyProtection="1">
      <protection hidden="1"/>
    </xf>
    <xf numFmtId="0" fontId="85" fillId="51" borderId="0" xfId="343" applyFont="1" applyFill="1" applyProtection="1">
      <protection hidden="1"/>
    </xf>
    <xf numFmtId="0" fontId="85" fillId="0" borderId="0" xfId="343" applyFont="1"/>
    <xf numFmtId="0" fontId="25" fillId="51" borderId="0" xfId="2255" applyFont="1" applyFill="1" applyAlignment="1" applyProtection="1">
      <alignment horizontal="left"/>
      <protection hidden="1"/>
    </xf>
    <xf numFmtId="0" fontId="47" fillId="44" borderId="264" xfId="215" applyFont="1" applyFill="1" applyBorder="1" applyProtection="1">
      <protection hidden="1"/>
    </xf>
    <xf numFmtId="2" fontId="146" fillId="79" borderId="257" xfId="103" applyNumberFormat="1" applyFont="1" applyFill="1" applyBorder="1" applyAlignment="1" applyProtection="1">
      <alignment horizontal="center"/>
      <protection locked="0"/>
    </xf>
    <xf numFmtId="2" fontId="308" fillId="71" borderId="258" xfId="343" applyNumberFormat="1" applyFont="1" applyFill="1" applyBorder="1" applyAlignment="1" applyProtection="1">
      <alignment horizontal="right"/>
      <protection locked="0"/>
    </xf>
    <xf numFmtId="174" fontId="50" fillId="42" borderId="196" xfId="103" applyNumberFormat="1" applyFont="1" applyFill="1" applyBorder="1" applyAlignment="1" applyProtection="1">
      <alignment horizontal="center" wrapText="1"/>
      <protection hidden="1"/>
    </xf>
    <xf numFmtId="0" fontId="50" fillId="42" borderId="258" xfId="104" applyFont="1" applyFill="1" applyBorder="1" applyAlignment="1" applyProtection="1">
      <alignment horizontal="center"/>
      <protection hidden="1"/>
    </xf>
    <xf numFmtId="0" fontId="308" fillId="71" borderId="16" xfId="343" applyNumberFormat="1" applyFont="1" applyFill="1" applyBorder="1" applyAlignment="1" applyProtection="1">
      <alignment horizontal="right"/>
      <protection locked="0"/>
    </xf>
    <xf numFmtId="2" fontId="1" fillId="44" borderId="257" xfId="103" applyNumberFormat="1" applyFont="1" applyFill="1" applyBorder="1" applyAlignment="1" applyProtection="1">
      <alignment horizontal="center" wrapText="1"/>
      <protection locked="0"/>
    </xf>
    <xf numFmtId="0" fontId="1" fillId="44" borderId="257" xfId="103" applyFont="1" applyFill="1" applyBorder="1" applyAlignment="1" applyProtection="1">
      <alignment horizontal="center"/>
      <protection locked="0"/>
    </xf>
    <xf numFmtId="0" fontId="308" fillId="51" borderId="258" xfId="343" applyFont="1" applyFill="1" applyBorder="1" applyAlignment="1" applyProtection="1">
      <protection hidden="1"/>
    </xf>
    <xf numFmtId="0" fontId="85" fillId="0" borderId="179" xfId="343" applyFont="1" applyBorder="1" applyProtection="1">
      <protection hidden="1"/>
    </xf>
    <xf numFmtId="0" fontId="308" fillId="51" borderId="16" xfId="343" applyFont="1" applyFill="1" applyBorder="1" applyAlignment="1" applyProtection="1">
      <protection hidden="1"/>
    </xf>
    <xf numFmtId="2" fontId="308" fillId="71" borderId="257" xfId="343" applyNumberFormat="1" applyFont="1" applyFill="1" applyBorder="1" applyAlignment="1" applyProtection="1">
      <alignment horizontal="center"/>
      <protection locked="0"/>
    </xf>
    <xf numFmtId="164" fontId="308" fillId="51" borderId="257" xfId="343" applyNumberFormat="1" applyFont="1" applyFill="1" applyBorder="1" applyAlignment="1" applyProtection="1">
      <alignment horizontal="center"/>
      <protection hidden="1"/>
    </xf>
    <xf numFmtId="0" fontId="85" fillId="42" borderId="260" xfId="104" applyFont="1" applyFill="1" applyBorder="1" applyAlignment="1" applyProtection="1">
      <alignment horizontal="center"/>
      <protection hidden="1"/>
    </xf>
    <xf numFmtId="0" fontId="85" fillId="42" borderId="257" xfId="104" applyFont="1" applyFill="1" applyBorder="1" applyAlignment="1" applyProtection="1">
      <alignment horizontal="center" vertical="center"/>
      <protection hidden="1"/>
    </xf>
    <xf numFmtId="0" fontId="85" fillId="42" borderId="259" xfId="104" applyFont="1" applyFill="1" applyBorder="1" applyAlignment="1" applyProtection="1">
      <alignment horizontal="center"/>
      <protection hidden="1"/>
    </xf>
    <xf numFmtId="0" fontId="85" fillId="42" borderId="258" xfId="104" applyFont="1" applyFill="1" applyBorder="1" applyAlignment="1" applyProtection="1">
      <alignment horizontal="center" vertical="center"/>
      <protection hidden="1"/>
    </xf>
    <xf numFmtId="0" fontId="85" fillId="42" borderId="0" xfId="343" applyFont="1" applyFill="1" applyProtection="1">
      <protection hidden="1"/>
    </xf>
    <xf numFmtId="0" fontId="85" fillId="53" borderId="0" xfId="343" applyFont="1" applyFill="1" applyAlignment="1" applyProtection="1">
      <alignment vertical="top" wrapText="1" shrinkToFit="1"/>
      <protection hidden="1"/>
    </xf>
    <xf numFmtId="0" fontId="85" fillId="53" borderId="0" xfId="343" applyFont="1" applyFill="1" applyProtection="1">
      <protection hidden="1"/>
    </xf>
    <xf numFmtId="165" fontId="85" fillId="0" borderId="257" xfId="343" applyNumberFormat="1" applyFont="1" applyBorder="1" applyAlignment="1" applyProtection="1">
      <alignment horizontal="center"/>
      <protection hidden="1"/>
    </xf>
    <xf numFmtId="2" fontId="85" fillId="0" borderId="257" xfId="343" applyNumberFormat="1" applyFont="1" applyBorder="1" applyAlignment="1" applyProtection="1">
      <alignment horizontal="center"/>
      <protection hidden="1"/>
    </xf>
    <xf numFmtId="0" fontId="85" fillId="0" borderId="257" xfId="343" applyFont="1" applyBorder="1" applyAlignment="1" applyProtection="1">
      <alignment horizontal="center"/>
      <protection hidden="1"/>
    </xf>
    <xf numFmtId="0" fontId="290" fillId="42" borderId="257" xfId="343" applyFont="1" applyFill="1" applyBorder="1" applyAlignment="1" applyProtection="1">
      <alignment horizontal="center"/>
      <protection hidden="1"/>
    </xf>
    <xf numFmtId="0" fontId="85" fillId="44" borderId="257" xfId="343" applyFont="1" applyFill="1" applyBorder="1" applyAlignment="1" applyProtection="1">
      <alignment horizontal="center"/>
      <protection locked="0"/>
    </xf>
    <xf numFmtId="164" fontId="290" fillId="42" borderId="257" xfId="343" applyNumberFormat="1" applyFont="1" applyFill="1" applyBorder="1" applyAlignment="1" applyProtection="1">
      <alignment horizontal="center"/>
      <protection hidden="1"/>
    </xf>
    <xf numFmtId="0" fontId="85" fillId="35" borderId="0" xfId="343" applyFont="1" applyFill="1" applyProtection="1">
      <protection hidden="1"/>
    </xf>
    <xf numFmtId="165" fontId="60" fillId="51" borderId="258" xfId="103" applyNumberFormat="1" applyFont="1" applyFill="1" applyBorder="1" applyAlignment="1" applyProtection="1">
      <alignment horizontal="center" vertical="center" wrapText="1"/>
      <protection hidden="1"/>
    </xf>
    <xf numFmtId="0" fontId="60" fillId="51" borderId="179" xfId="103" applyFont="1" applyFill="1" applyBorder="1" applyAlignment="1" applyProtection="1">
      <alignment horizontal="center"/>
      <protection hidden="1"/>
    </xf>
    <xf numFmtId="165" fontId="60" fillId="51" borderId="179" xfId="103" applyNumberFormat="1" applyFont="1" applyFill="1" applyBorder="1" applyAlignment="1" applyProtection="1">
      <alignment horizontal="center"/>
      <protection hidden="1"/>
    </xf>
    <xf numFmtId="0" fontId="47" fillId="0" borderId="16" xfId="103" applyFont="1" applyFill="1" applyBorder="1" applyProtection="1">
      <protection hidden="1"/>
    </xf>
    <xf numFmtId="0" fontId="47" fillId="0" borderId="16" xfId="108" applyFont="1" applyFill="1" applyBorder="1" applyAlignment="1" applyProtection="1">
      <alignment horizontal="center"/>
      <protection hidden="1"/>
    </xf>
    <xf numFmtId="165" fontId="47" fillId="0" borderId="16" xfId="345" applyNumberFormat="1" applyFont="1" applyFill="1" applyBorder="1" applyProtection="1">
      <protection hidden="1"/>
    </xf>
    <xf numFmtId="165" fontId="3" fillId="0" borderId="16" xfId="345" applyNumberFormat="1" applyFont="1" applyFill="1" applyBorder="1" applyProtection="1">
      <protection hidden="1"/>
    </xf>
    <xf numFmtId="0" fontId="47" fillId="0" borderId="179" xfId="103" applyFont="1" applyFill="1" applyBorder="1" applyProtection="1">
      <protection hidden="1"/>
    </xf>
    <xf numFmtId="0" fontId="47" fillId="0" borderId="179" xfId="108" applyFont="1" applyFill="1" applyBorder="1" applyAlignment="1" applyProtection="1">
      <alignment horizontal="center"/>
      <protection hidden="1"/>
    </xf>
    <xf numFmtId="165" fontId="47" fillId="0" borderId="179" xfId="345" applyNumberFormat="1" applyFont="1" applyFill="1" applyBorder="1" applyProtection="1">
      <protection hidden="1"/>
    </xf>
    <xf numFmtId="2" fontId="317" fillId="44" borderId="257" xfId="103" applyNumberFormat="1" applyFont="1" applyFill="1" applyBorder="1" applyAlignment="1" applyProtection="1">
      <alignment horizontal="center"/>
      <protection locked="0"/>
    </xf>
    <xf numFmtId="0" fontId="317" fillId="42" borderId="16" xfId="103" applyFont="1" applyFill="1" applyBorder="1" applyAlignment="1" applyProtection="1">
      <alignment horizontal="center" wrapText="1"/>
      <protection hidden="1"/>
    </xf>
    <xf numFmtId="2" fontId="318" fillId="42" borderId="196" xfId="103" applyNumberFormat="1" applyFont="1" applyFill="1" applyBorder="1" applyAlignment="1" applyProtection="1">
      <alignment horizontal="center"/>
      <protection hidden="1"/>
    </xf>
    <xf numFmtId="165" fontId="318" fillId="42" borderId="257" xfId="104" applyNumberFormat="1" applyFont="1" applyFill="1" applyBorder="1" applyAlignment="1" applyProtection="1">
      <alignment horizontal="center"/>
      <protection hidden="1"/>
    </xf>
    <xf numFmtId="164" fontId="318" fillId="42" borderId="257" xfId="104" applyNumberFormat="1" applyFont="1" applyFill="1" applyBorder="1" applyAlignment="1" applyProtection="1">
      <alignment horizontal="center"/>
      <protection hidden="1"/>
    </xf>
    <xf numFmtId="0" fontId="317" fillId="44" borderId="257" xfId="103" applyNumberFormat="1" applyFont="1" applyFill="1" applyBorder="1" applyAlignment="1" applyProtection="1">
      <alignment horizontal="center"/>
      <protection locked="0"/>
    </xf>
    <xf numFmtId="167" fontId="317" fillId="42" borderId="16" xfId="103" applyNumberFormat="1" applyFont="1" applyFill="1" applyBorder="1" applyAlignment="1" applyProtection="1">
      <alignment horizontal="center" wrapText="1"/>
      <protection hidden="1"/>
    </xf>
    <xf numFmtId="2" fontId="317" fillId="42" borderId="16" xfId="103" applyNumberFormat="1" applyFont="1" applyFill="1" applyBorder="1" applyAlignment="1" applyProtection="1">
      <alignment horizontal="center" wrapText="1"/>
      <protection hidden="1"/>
    </xf>
    <xf numFmtId="0" fontId="318" fillId="71" borderId="16" xfId="343" applyNumberFormat="1" applyFont="1" applyFill="1" applyBorder="1" applyAlignment="1" applyProtection="1">
      <alignment horizontal="right"/>
      <protection locked="0"/>
    </xf>
    <xf numFmtId="0" fontId="146" fillId="53" borderId="0" xfId="343" applyFont="1" applyFill="1" applyAlignment="1" applyProtection="1">
      <protection hidden="1"/>
    </xf>
    <xf numFmtId="0" fontId="11" fillId="53" borderId="0" xfId="108" applyFont="1" applyFill="1" applyAlignment="1" applyProtection="1">
      <protection hidden="1"/>
    </xf>
    <xf numFmtId="1" fontId="3" fillId="0" borderId="0" xfId="69" applyNumberFormat="1" applyFont="1" applyAlignment="1" applyProtection="1">
      <alignment vertical="top" wrapText="1"/>
      <protection hidden="1"/>
    </xf>
    <xf numFmtId="0" fontId="3" fillId="0" borderId="22" xfId="0" applyFont="1" applyBorder="1" applyAlignment="1" applyProtection="1">
      <alignment horizontal="center" wrapText="1"/>
      <protection hidden="1"/>
    </xf>
    <xf numFmtId="0" fontId="3" fillId="35" borderId="17" xfId="0" applyFont="1" applyFill="1" applyBorder="1" applyAlignment="1" applyProtection="1">
      <alignment horizontal="center" wrapText="1"/>
      <protection hidden="1"/>
    </xf>
    <xf numFmtId="164" fontId="13" fillId="0" borderId="0" xfId="76" applyNumberFormat="1" applyFont="1" applyFill="1" applyBorder="1" applyAlignment="1" applyProtection="1">
      <protection locked="0"/>
    </xf>
    <xf numFmtId="0" fontId="13" fillId="0" borderId="0" xfId="86" applyFont="1" applyFill="1" applyBorder="1" applyAlignment="1" applyProtection="1">
      <protection locked="0"/>
    </xf>
    <xf numFmtId="0" fontId="13" fillId="0" borderId="29" xfId="86" applyFont="1" applyFill="1" applyBorder="1" applyAlignment="1" applyProtection="1">
      <protection locked="0"/>
    </xf>
    <xf numFmtId="2" fontId="3" fillId="51" borderId="0" xfId="74" applyNumberFormat="1" applyFont="1" applyFill="1" applyBorder="1" applyAlignment="1" applyProtection="1">
      <alignment horizontal="right"/>
      <protection locked="0"/>
    </xf>
    <xf numFmtId="0" fontId="85" fillId="53" borderId="0" xfId="108" applyFont="1" applyFill="1" applyAlignment="1" applyProtection="1">
      <alignment horizontal="right"/>
      <protection hidden="1"/>
    </xf>
    <xf numFmtId="0" fontId="85" fillId="0" borderId="0" xfId="63" applyFont="1" applyProtection="1">
      <protection locked="0"/>
    </xf>
    <xf numFmtId="0" fontId="141" fillId="0" borderId="0" xfId="63" applyFont="1" applyAlignment="1" applyProtection="1">
      <alignment horizontal="center"/>
      <protection locked="0"/>
    </xf>
    <xf numFmtId="0" fontId="149" fillId="0" borderId="0" xfId="63" applyFont="1" applyAlignment="1" applyProtection="1">
      <alignment horizontal="center"/>
      <protection locked="0"/>
    </xf>
    <xf numFmtId="164" fontId="271" fillId="35" borderId="0" xfId="69" applyNumberFormat="1" applyFont="1" applyFill="1" applyBorder="1" applyAlignment="1" applyProtection="1">
      <alignment horizontal="right"/>
      <protection hidden="1"/>
    </xf>
    <xf numFmtId="164" fontId="271" fillId="35" borderId="0" xfId="69" applyNumberFormat="1" applyFont="1" applyFill="1" applyBorder="1" applyAlignment="1" applyProtection="1">
      <alignment horizontal="left"/>
      <protection hidden="1"/>
    </xf>
    <xf numFmtId="1" fontId="47" fillId="35" borderId="0" xfId="108" applyNumberFormat="1" applyFont="1" applyFill="1" applyBorder="1" applyAlignment="1" applyProtection="1">
      <alignment horizontal="center" wrapText="1"/>
      <protection hidden="1"/>
    </xf>
    <xf numFmtId="1" fontId="47" fillId="35" borderId="0" xfId="108" applyNumberFormat="1" applyFont="1" applyFill="1" applyBorder="1" applyAlignment="1" applyProtection="1">
      <alignment horizontal="center"/>
      <protection hidden="1"/>
    </xf>
    <xf numFmtId="0" fontId="3" fillId="92" borderId="206" xfId="997" applyFont="1" applyFill="1" applyBorder="1" applyAlignment="1" applyProtection="1">
      <alignment horizontal="center"/>
      <protection hidden="1"/>
    </xf>
    <xf numFmtId="0" fontId="271" fillId="51" borderId="0" xfId="69" applyFont="1" applyFill="1" applyBorder="1" applyAlignment="1" applyProtection="1">
      <alignment horizontal="right"/>
      <protection hidden="1"/>
    </xf>
    <xf numFmtId="0" fontId="3" fillId="92" borderId="194" xfId="997" applyFont="1" applyFill="1" applyBorder="1" applyAlignment="1" applyProtection="1">
      <alignment horizontal="right"/>
      <protection hidden="1"/>
    </xf>
    <xf numFmtId="0" fontId="3" fillId="92" borderId="195" xfId="997" applyFont="1" applyFill="1" applyBorder="1" applyAlignment="1" applyProtection="1">
      <alignment horizontal="right"/>
      <protection hidden="1"/>
    </xf>
    <xf numFmtId="0" fontId="3" fillId="92" borderId="231" xfId="997" applyFont="1" applyFill="1" applyBorder="1" applyAlignment="1" applyProtection="1">
      <protection hidden="1"/>
    </xf>
    <xf numFmtId="0" fontId="11" fillId="51" borderId="272" xfId="69" applyFont="1" applyFill="1" applyBorder="1" applyAlignment="1" applyProtection="1">
      <protection hidden="1"/>
    </xf>
    <xf numFmtId="2" fontId="3" fillId="51" borderId="0" xfId="69" applyNumberFormat="1" applyFont="1" applyFill="1" applyBorder="1" applyAlignment="1" applyProtection="1">
      <protection hidden="1"/>
    </xf>
    <xf numFmtId="0" fontId="85" fillId="51" borderId="0" xfId="108" applyFont="1" applyFill="1" applyAlignment="1" applyProtection="1">
      <alignment horizontal="right"/>
      <protection hidden="1"/>
    </xf>
    <xf numFmtId="0" fontId="170" fillId="53" borderId="260" xfId="104" applyFont="1" applyFill="1" applyBorder="1" applyAlignment="1" applyProtection="1">
      <alignment horizontal="left"/>
      <protection hidden="1"/>
    </xf>
    <xf numFmtId="0" fontId="50" fillId="51" borderId="0" xfId="343" applyFont="1" applyFill="1" applyBorder="1" applyAlignment="1" applyProtection="1">
      <alignment horizontal="left"/>
      <protection hidden="1"/>
    </xf>
    <xf numFmtId="0" fontId="85" fillId="53" borderId="260" xfId="108" applyFont="1" applyFill="1" applyBorder="1" applyAlignment="1" applyProtection="1">
      <alignment horizontal="center"/>
      <protection hidden="1"/>
    </xf>
    <xf numFmtId="0" fontId="85" fillId="42" borderId="0" xfId="104" applyFont="1" applyFill="1" applyAlignment="1" applyProtection="1">
      <alignment horizontal="left"/>
      <protection hidden="1"/>
    </xf>
    <xf numFmtId="0" fontId="3" fillId="0" borderId="0" xfId="66" applyFont="1" applyBorder="1" applyAlignment="1" applyProtection="1"/>
    <xf numFmtId="0" fontId="58" fillId="36" borderId="0" xfId="66" applyFont="1" applyFill="1" applyBorder="1" applyAlignment="1" applyProtection="1"/>
    <xf numFmtId="0" fontId="3" fillId="0" borderId="0" xfId="66" applyFont="1" applyFill="1" applyBorder="1" applyAlignment="1" applyProtection="1"/>
    <xf numFmtId="0" fontId="3" fillId="0" borderId="0" xfId="73" applyFont="1" applyFill="1" applyBorder="1" applyAlignment="1" applyProtection="1"/>
    <xf numFmtId="0" fontId="3" fillId="0" borderId="0" xfId="69" applyFont="1" applyFill="1" applyBorder="1" applyAlignment="1" applyProtection="1"/>
    <xf numFmtId="0" fontId="3" fillId="0" borderId="173" xfId="69" applyFont="1" applyBorder="1" applyAlignment="1" applyProtection="1"/>
    <xf numFmtId="0" fontId="3" fillId="0" borderId="167" xfId="69" applyFont="1" applyBorder="1" applyAlignment="1" applyProtection="1"/>
    <xf numFmtId="0" fontId="47" fillId="0" borderId="0" xfId="63" applyFont="1" applyProtection="1"/>
    <xf numFmtId="0" fontId="47" fillId="0" borderId="0" xfId="63" applyFont="1" applyFill="1" applyProtection="1"/>
    <xf numFmtId="0" fontId="146" fillId="53" borderId="0" xfId="215" applyFont="1" applyFill="1" applyBorder="1" applyAlignment="1" applyProtection="1">
      <alignment wrapText="1"/>
      <protection hidden="1"/>
    </xf>
    <xf numFmtId="174" fontId="146" fillId="53" borderId="258" xfId="103" applyNumberFormat="1" applyFont="1" applyFill="1" applyBorder="1" applyAlignment="1" applyProtection="1">
      <alignment horizontal="center" vertical="center" wrapText="1"/>
      <protection hidden="1"/>
    </xf>
    <xf numFmtId="164" fontId="85" fillId="44" borderId="257" xfId="104" applyNumberFormat="1" applyFont="1" applyFill="1" applyBorder="1" applyAlignment="1" applyProtection="1">
      <alignment horizontal="center"/>
      <protection locked="0"/>
    </xf>
    <xf numFmtId="0" fontId="1" fillId="51" borderId="258" xfId="108" applyFont="1" applyFill="1" applyBorder="1" applyAlignment="1" applyProtection="1">
      <protection hidden="1"/>
    </xf>
    <xf numFmtId="0" fontId="320" fillId="42" borderId="16" xfId="103" applyFont="1" applyFill="1" applyBorder="1" applyAlignment="1" applyProtection="1">
      <alignment horizontal="center" wrapText="1"/>
      <protection hidden="1"/>
    </xf>
    <xf numFmtId="165" fontId="318" fillId="42" borderId="258" xfId="104" applyNumberFormat="1" applyFont="1" applyFill="1" applyBorder="1" applyAlignment="1" applyProtection="1">
      <alignment horizontal="center" wrapText="1"/>
      <protection hidden="1"/>
    </xf>
    <xf numFmtId="165" fontId="320" fillId="42" borderId="258" xfId="104" applyNumberFormat="1" applyFont="1" applyFill="1" applyBorder="1" applyAlignment="1" applyProtection="1">
      <alignment horizontal="center"/>
      <protection hidden="1"/>
    </xf>
    <xf numFmtId="2" fontId="320" fillId="42" borderId="258" xfId="103" applyNumberFormat="1" applyFont="1" applyFill="1" applyBorder="1" applyAlignment="1" applyProtection="1">
      <alignment horizontal="center"/>
      <protection hidden="1"/>
    </xf>
    <xf numFmtId="165" fontId="320" fillId="42" borderId="257" xfId="104" applyNumberFormat="1" applyFont="1" applyFill="1" applyBorder="1" applyAlignment="1" applyProtection="1">
      <alignment horizontal="center"/>
      <protection hidden="1"/>
    </xf>
    <xf numFmtId="164" fontId="320" fillId="42" borderId="257" xfId="103" applyNumberFormat="1" applyFont="1" applyFill="1" applyBorder="1" applyAlignment="1" applyProtection="1">
      <alignment horizontal="center"/>
      <protection hidden="1"/>
    </xf>
    <xf numFmtId="1" fontId="308" fillId="51" borderId="258" xfId="343" applyNumberFormat="1" applyFont="1" applyFill="1" applyBorder="1" applyAlignment="1" applyProtection="1">
      <protection hidden="1"/>
    </xf>
    <xf numFmtId="1" fontId="85" fillId="0" borderId="179" xfId="343" applyNumberFormat="1" applyFont="1" applyBorder="1" applyAlignment="1" applyProtection="1">
      <alignment horizontal="right"/>
      <protection hidden="1"/>
    </xf>
    <xf numFmtId="1" fontId="308" fillId="51" borderId="16" xfId="343" applyNumberFormat="1" applyFont="1" applyFill="1" applyBorder="1" applyAlignment="1" applyProtection="1">
      <protection hidden="1"/>
    </xf>
    <xf numFmtId="165" fontId="318" fillId="42" borderId="258" xfId="104" applyNumberFormat="1" applyFont="1" applyFill="1" applyBorder="1" applyAlignment="1" applyProtection="1">
      <alignment horizontal="center"/>
      <protection hidden="1"/>
    </xf>
    <xf numFmtId="165" fontId="321" fillId="42" borderId="257" xfId="103" applyNumberFormat="1" applyFont="1" applyFill="1" applyBorder="1" applyAlignment="1" applyProtection="1">
      <alignment horizontal="center"/>
      <protection hidden="1"/>
    </xf>
    <xf numFmtId="164" fontId="321" fillId="42" borderId="257" xfId="103" applyNumberFormat="1" applyFont="1" applyFill="1" applyBorder="1" applyAlignment="1" applyProtection="1">
      <alignment horizontal="center"/>
      <protection hidden="1"/>
    </xf>
    <xf numFmtId="165" fontId="322" fillId="42" borderId="257" xfId="103" applyNumberFormat="1" applyFont="1" applyFill="1" applyBorder="1" applyAlignment="1" applyProtection="1">
      <alignment horizontal="center"/>
      <protection hidden="1"/>
    </xf>
    <xf numFmtId="164" fontId="322" fillId="42" borderId="257" xfId="103" applyNumberFormat="1" applyFont="1" applyFill="1" applyBorder="1" applyAlignment="1" applyProtection="1">
      <alignment horizontal="center"/>
      <protection hidden="1"/>
    </xf>
    <xf numFmtId="0" fontId="197" fillId="51" borderId="0" xfId="343" applyFont="1" applyFill="1" applyAlignment="1" applyProtection="1">
      <alignment horizontal="left"/>
      <protection hidden="1"/>
    </xf>
    <xf numFmtId="164" fontId="320" fillId="42" borderId="257" xfId="104" applyNumberFormat="1" applyFont="1" applyFill="1" applyBorder="1" applyAlignment="1" applyProtection="1">
      <alignment horizontal="center"/>
      <protection hidden="1"/>
    </xf>
    <xf numFmtId="165" fontId="320" fillId="42" borderId="16" xfId="103" applyNumberFormat="1" applyFont="1" applyFill="1" applyBorder="1" applyAlignment="1" applyProtection="1">
      <alignment horizontal="center" wrapText="1"/>
      <protection hidden="1"/>
    </xf>
    <xf numFmtId="0" fontId="50" fillId="51" borderId="273" xfId="343" applyFont="1" applyFill="1" applyBorder="1" applyAlignment="1" applyProtection="1">
      <alignment horizontal="left"/>
      <protection hidden="1"/>
    </xf>
    <xf numFmtId="0" fontId="197" fillId="0" borderId="0" xfId="108" applyFont="1" applyAlignment="1" applyProtection="1">
      <alignment horizontal="left"/>
      <protection hidden="1"/>
    </xf>
    <xf numFmtId="0" fontId="197" fillId="51" borderId="0" xfId="343" applyFont="1" applyFill="1" applyBorder="1" applyAlignment="1" applyProtection="1">
      <alignment horizontal="left"/>
      <protection hidden="1"/>
    </xf>
    <xf numFmtId="0" fontId="197" fillId="51" borderId="0" xfId="108" applyFont="1" applyFill="1" applyAlignment="1" applyProtection="1">
      <alignment horizontal="left"/>
      <protection hidden="1"/>
    </xf>
    <xf numFmtId="164" fontId="85" fillId="44" borderId="257" xfId="103" applyNumberFormat="1" applyFill="1" applyBorder="1" applyAlignment="1" applyProtection="1">
      <alignment horizontal="center" wrapText="1"/>
      <protection locked="0"/>
    </xf>
    <xf numFmtId="0" fontId="85" fillId="44" borderId="260" xfId="103" applyFill="1" applyBorder="1" applyAlignment="1" applyProtection="1">
      <alignment horizontal="left" wrapText="1"/>
      <protection locked="0"/>
    </xf>
    <xf numFmtId="0" fontId="319" fillId="51" borderId="0" xfId="108" applyFont="1" applyFill="1" applyBorder="1" applyAlignment="1" applyProtection="1">
      <alignment wrapText="1"/>
      <protection hidden="1"/>
    </xf>
    <xf numFmtId="0" fontId="85" fillId="44" borderId="257" xfId="108" applyFont="1" applyFill="1" applyBorder="1" applyAlignment="1" applyProtection="1">
      <alignment horizontal="center"/>
      <protection locked="0"/>
    </xf>
    <xf numFmtId="165" fontId="85" fillId="42" borderId="257" xfId="108" applyNumberFormat="1" applyFont="1" applyFill="1" applyBorder="1" applyAlignment="1" applyProtection="1">
      <alignment horizontal="left"/>
      <protection hidden="1"/>
    </xf>
    <xf numFmtId="0" fontId="47" fillId="51" borderId="0" xfId="108" applyFill="1" applyBorder="1" applyProtection="1">
      <protection hidden="1"/>
    </xf>
    <xf numFmtId="0" fontId="47" fillId="0" borderId="0" xfId="108" applyProtection="1">
      <protection hidden="1"/>
    </xf>
    <xf numFmtId="0" fontId="47" fillId="51" borderId="0" xfId="343" applyFont="1" applyFill="1" applyAlignment="1" applyProtection="1">
      <alignment horizontal="left" vertical="top" wrapText="1"/>
      <protection hidden="1"/>
    </xf>
    <xf numFmtId="0" fontId="85" fillId="42" borderId="257" xfId="343" applyFont="1" applyFill="1" applyBorder="1" applyAlignment="1" applyProtection="1">
      <alignment horizontal="center"/>
      <protection hidden="1"/>
    </xf>
    <xf numFmtId="2" fontId="85" fillId="44" borderId="257" xfId="343" applyNumberFormat="1" applyFont="1" applyFill="1" applyBorder="1" applyAlignment="1" applyProtection="1">
      <alignment horizontal="center"/>
      <protection locked="0"/>
    </xf>
    <xf numFmtId="165" fontId="85" fillId="42" borderId="257" xfId="344" applyNumberFormat="1" applyFont="1" applyFill="1" applyBorder="1" applyAlignment="1" applyProtection="1">
      <alignment horizontal="center"/>
      <protection hidden="1"/>
    </xf>
    <xf numFmtId="164" fontId="290" fillId="53" borderId="262" xfId="104" applyNumberFormat="1" applyFont="1" applyFill="1" applyBorder="1" applyAlignment="1" applyProtection="1">
      <alignment horizontal="center"/>
      <protection hidden="1"/>
    </xf>
    <xf numFmtId="0" fontId="14" fillId="53" borderId="0" xfId="104" applyFont="1" applyFill="1" applyProtection="1">
      <protection hidden="1"/>
    </xf>
    <xf numFmtId="2" fontId="1" fillId="53" borderId="257" xfId="104" applyNumberFormat="1" applyFont="1" applyFill="1" applyBorder="1" applyAlignment="1" applyProtection="1">
      <alignment horizontal="center"/>
      <protection hidden="1"/>
    </xf>
    <xf numFmtId="164" fontId="170" fillId="53" borderId="257" xfId="104" applyNumberFormat="1" applyFont="1" applyFill="1" applyBorder="1" applyAlignment="1" applyProtection="1">
      <alignment horizontal="center"/>
      <protection locked="0"/>
    </xf>
    <xf numFmtId="0" fontId="309" fillId="51" borderId="0" xfId="108" applyFont="1" applyFill="1" applyAlignment="1" applyProtection="1">
      <alignment vertical="top" wrapText="1"/>
      <protection hidden="1"/>
    </xf>
    <xf numFmtId="0" fontId="85" fillId="51" borderId="0" xfId="343" applyFont="1" applyFill="1" applyBorder="1" applyProtection="1">
      <protection hidden="1"/>
    </xf>
    <xf numFmtId="0" fontId="85" fillId="51" borderId="0" xfId="343" applyFont="1" applyFill="1" applyAlignment="1" applyProtection="1">
      <alignment vertical="top" wrapText="1"/>
      <protection hidden="1"/>
    </xf>
    <xf numFmtId="0" fontId="55" fillId="35" borderId="0" xfId="46" applyFont="1" applyFill="1" applyAlignment="1" applyProtection="1">
      <alignment horizontal="right"/>
      <protection hidden="1"/>
    </xf>
    <xf numFmtId="0" fontId="3" fillId="35" borderId="0" xfId="81" applyNumberFormat="1" applyFont="1" applyFill="1" applyAlignment="1" applyProtection="1">
      <protection hidden="1"/>
    </xf>
    <xf numFmtId="0" fontId="3" fillId="35" borderId="0" xfId="81" applyNumberFormat="1" applyFont="1" applyFill="1" applyAlignment="1" applyProtection="1">
      <alignment horizontal="left"/>
      <protection hidden="1"/>
    </xf>
    <xf numFmtId="0" fontId="304" fillId="51" borderId="0" xfId="0" applyFont="1" applyFill="1" applyAlignment="1" applyProtection="1">
      <alignment horizontal="right"/>
      <protection hidden="1"/>
    </xf>
    <xf numFmtId="1" fontId="3" fillId="0" borderId="172" xfId="80" applyNumberFormat="1" applyFont="1" applyFill="1" applyBorder="1" applyAlignment="1" applyProtection="1">
      <protection hidden="1"/>
    </xf>
    <xf numFmtId="1" fontId="3" fillId="0" borderId="214" xfId="80" applyNumberFormat="1" applyFont="1" applyFill="1" applyBorder="1" applyAlignment="1" applyProtection="1">
      <protection hidden="1"/>
    </xf>
    <xf numFmtId="1" fontId="3" fillId="0" borderId="179" xfId="80" applyNumberFormat="1" applyFont="1" applyFill="1" applyBorder="1" applyAlignment="1" applyProtection="1">
      <protection hidden="1"/>
    </xf>
    <xf numFmtId="0" fontId="1" fillId="0" borderId="0" xfId="69" applyFill="1" applyAlignment="1" applyProtection="1">
      <protection hidden="1"/>
    </xf>
    <xf numFmtId="0" fontId="3" fillId="51" borderId="0" xfId="0" applyFont="1" applyFill="1" applyAlignment="1" applyProtection="1">
      <alignment horizontal="left"/>
      <protection hidden="1"/>
    </xf>
    <xf numFmtId="165" fontId="85" fillId="44" borderId="0" xfId="104" applyNumberFormat="1" applyFont="1" applyFill="1" applyAlignment="1" applyProtection="1">
      <alignment horizontal="right"/>
      <protection locked="0"/>
    </xf>
    <xf numFmtId="0" fontId="85" fillId="44" borderId="0" xfId="108" applyFont="1" applyFill="1" applyAlignment="1" applyProtection="1">
      <alignment horizontal="right"/>
      <protection locked="0"/>
    </xf>
    <xf numFmtId="0" fontId="3" fillId="51" borderId="0" xfId="0" applyFont="1" applyFill="1" applyAlignment="1" applyProtection="1">
      <alignment horizontal="left" vertical="center"/>
      <protection hidden="1"/>
    </xf>
    <xf numFmtId="0" fontId="3" fillId="51" borderId="0" xfId="0" applyFont="1" applyFill="1" applyAlignment="1" applyProtection="1">
      <alignment vertical="center"/>
      <protection hidden="1"/>
    </xf>
    <xf numFmtId="0" fontId="3" fillId="51" borderId="0" xfId="0" applyFont="1" applyFill="1" applyBorder="1" applyAlignment="1" applyProtection="1">
      <alignment horizontal="left" vertical="center"/>
      <protection hidden="1"/>
    </xf>
    <xf numFmtId="0" fontId="304" fillId="51" borderId="0" xfId="0" applyFont="1" applyFill="1" applyAlignment="1" applyProtection="1">
      <alignment horizontal="right"/>
      <protection hidden="1"/>
    </xf>
    <xf numFmtId="0" fontId="3" fillId="51" borderId="0" xfId="0" applyFont="1" applyFill="1" applyAlignment="1" applyProtection="1">
      <protection hidden="1"/>
    </xf>
    <xf numFmtId="0" fontId="167" fillId="51" borderId="0" xfId="46" applyFont="1" applyFill="1" applyAlignment="1" applyProtection="1">
      <protection hidden="1"/>
    </xf>
    <xf numFmtId="0" fontId="0" fillId="0" borderId="0" xfId="0" applyProtection="1">
      <protection hidden="1"/>
    </xf>
    <xf numFmtId="0" fontId="52" fillId="0" borderId="0" xfId="46" applyFont="1" applyAlignment="1" applyProtection="1"/>
    <xf numFmtId="0" fontId="3" fillId="75" borderId="165" xfId="69" applyFont="1" applyFill="1" applyBorder="1" applyAlignment="1" applyProtection="1">
      <protection locked="0"/>
    </xf>
    <xf numFmtId="0" fontId="3" fillId="35" borderId="0" xfId="81" applyFont="1" applyFill="1" applyAlignment="1" applyProtection="1">
      <alignment horizontal="left"/>
      <protection hidden="1"/>
    </xf>
    <xf numFmtId="0" fontId="47" fillId="0" borderId="17" xfId="67" applyFont="1" applyBorder="1" applyAlignment="1" applyProtection="1">
      <alignment horizontal="center"/>
      <protection hidden="1"/>
    </xf>
    <xf numFmtId="0" fontId="47" fillId="0" borderId="17" xfId="67" applyFont="1" applyBorder="1" applyAlignment="1" applyProtection="1">
      <alignment horizontal="center" vertical="center"/>
      <protection hidden="1"/>
    </xf>
    <xf numFmtId="0" fontId="47" fillId="45" borderId="17" xfId="0" applyFont="1" applyFill="1" applyBorder="1" applyAlignment="1" applyProtection="1">
      <alignment horizontal="center" vertical="center"/>
      <protection hidden="1"/>
    </xf>
    <xf numFmtId="0" fontId="47" fillId="0" borderId="17" xfId="0" applyFont="1" applyBorder="1" applyAlignment="1" applyProtection="1">
      <alignment horizontal="center" vertical="center"/>
      <protection hidden="1"/>
    </xf>
    <xf numFmtId="0" fontId="0" fillId="0" borderId="0" xfId="0"/>
    <xf numFmtId="0" fontId="47" fillId="42" borderId="17" xfId="61" applyFont="1" applyFill="1" applyBorder="1" applyAlignment="1" applyProtection="1">
      <alignment horizontal="center" vertical="center"/>
      <protection hidden="1"/>
    </xf>
    <xf numFmtId="0" fontId="47" fillId="42" borderId="17" xfId="0" applyFont="1" applyFill="1" applyBorder="1" applyAlignment="1" applyProtection="1">
      <alignment horizontal="center" vertical="center"/>
      <protection hidden="1"/>
    </xf>
    <xf numFmtId="0" fontId="47" fillId="42" borderId="17" xfId="67" applyFont="1" applyFill="1" applyBorder="1" applyAlignment="1" applyProtection="1">
      <alignment horizontal="center" vertical="center"/>
      <protection hidden="1"/>
    </xf>
    <xf numFmtId="0" fontId="85" fillId="43" borderId="0" xfId="67" applyFont="1" applyFill="1" applyAlignment="1" applyProtection="1">
      <alignment horizontal="center" vertical="center"/>
      <protection hidden="1"/>
    </xf>
    <xf numFmtId="0" fontId="47" fillId="42" borderId="0" xfId="67" applyFont="1" applyFill="1" applyAlignment="1" applyProtection="1">
      <alignment horizontal="center" vertical="center"/>
      <protection hidden="1"/>
    </xf>
    <xf numFmtId="0" fontId="47" fillId="42" borderId="0" xfId="63" applyFont="1" applyFill="1" applyAlignment="1" applyProtection="1">
      <alignment horizontal="center" vertical="center"/>
      <protection hidden="1"/>
    </xf>
    <xf numFmtId="0" fontId="47" fillId="42" borderId="225" xfId="108" applyFont="1" applyFill="1" applyBorder="1" applyAlignment="1" applyProtection="1">
      <alignment horizontal="center" vertical="center"/>
      <protection hidden="1"/>
    </xf>
    <xf numFmtId="0" fontId="155" fillId="42" borderId="0" xfId="0" applyFont="1" applyFill="1" applyAlignment="1" applyProtection="1">
      <alignment horizontal="center" vertical="center"/>
      <protection hidden="1"/>
    </xf>
    <xf numFmtId="0" fontId="85" fillId="53" borderId="0" xfId="67" applyFont="1" applyFill="1" applyAlignment="1" applyProtection="1">
      <alignment horizontal="center" vertical="center"/>
      <protection hidden="1"/>
    </xf>
    <xf numFmtId="0" fontId="125" fillId="53" borderId="0" xfId="67" applyFont="1" applyFill="1" applyAlignment="1" applyProtection="1">
      <alignment horizontal="center" vertical="center" wrapText="1"/>
      <protection hidden="1"/>
    </xf>
    <xf numFmtId="0" fontId="47" fillId="53" borderId="0" xfId="63" applyFont="1" applyFill="1" applyAlignment="1" applyProtection="1">
      <alignment horizontal="center" vertical="center"/>
      <protection hidden="1"/>
    </xf>
    <xf numFmtId="0" fontId="152" fillId="42" borderId="0" xfId="0" applyFont="1" applyFill="1" applyAlignment="1" applyProtection="1">
      <alignment horizontal="center" vertical="center"/>
      <protection hidden="1"/>
    </xf>
    <xf numFmtId="0" fontId="245" fillId="45" borderId="17" xfId="0" applyFont="1" applyFill="1" applyBorder="1" applyAlignment="1" applyProtection="1">
      <alignment horizontal="center" vertical="center"/>
      <protection hidden="1"/>
    </xf>
    <xf numFmtId="0" fontId="3" fillId="56" borderId="257" xfId="284" applyNumberFormat="1" applyFont="1" applyFill="1" applyBorder="1" applyAlignment="1" applyProtection="1">
      <alignment horizontal="center"/>
      <protection hidden="1"/>
    </xf>
    <xf numFmtId="0" fontId="3" fillId="56" borderId="275" xfId="284" applyNumberFormat="1" applyFont="1" applyFill="1" applyBorder="1" applyAlignment="1" applyProtection="1">
      <alignment horizontal="center"/>
      <protection hidden="1"/>
    </xf>
    <xf numFmtId="0" fontId="3" fillId="55" borderId="0" xfId="63" applyNumberFormat="1" applyFont="1" applyFill="1" applyBorder="1" applyAlignment="1" applyProtection="1">
      <alignment horizontal="center"/>
      <protection locked="0"/>
    </xf>
    <xf numFmtId="0" fontId="3" fillId="56" borderId="96" xfId="284" applyNumberFormat="1" applyFont="1" applyFill="1" applyBorder="1" applyAlignment="1" applyProtection="1">
      <protection hidden="1"/>
    </xf>
    <xf numFmtId="0" fontId="323" fillId="56" borderId="0" xfId="284" applyNumberFormat="1" applyFont="1" applyFill="1" applyBorder="1" applyAlignment="1" applyProtection="1">
      <alignment vertical="center" wrapText="1"/>
      <protection hidden="1"/>
    </xf>
    <xf numFmtId="0" fontId="3" fillId="0" borderId="257" xfId="0" applyNumberFormat="1" applyFont="1" applyFill="1" applyBorder="1" applyAlignment="1" applyProtection="1">
      <alignment horizontal="center"/>
      <protection hidden="1"/>
    </xf>
    <xf numFmtId="0" fontId="3" fillId="56" borderId="257" xfId="284" applyNumberFormat="1" applyFont="1" applyFill="1" applyBorder="1" applyAlignment="1" applyProtection="1">
      <alignment horizontal="center" wrapText="1"/>
      <protection hidden="1"/>
    </xf>
    <xf numFmtId="0" fontId="3" fillId="55" borderId="257" xfId="284" applyNumberFormat="1" applyFont="1" applyFill="1" applyBorder="1" applyAlignment="1" applyProtection="1">
      <alignment horizontal="center" wrapText="1"/>
      <protection locked="0"/>
    </xf>
    <xf numFmtId="0" fontId="3" fillId="56" borderId="274" xfId="0" applyNumberFormat="1" applyFont="1" applyFill="1" applyBorder="1" applyAlignment="1" applyProtection="1">
      <alignment horizontal="left"/>
      <protection hidden="1"/>
    </xf>
    <xf numFmtId="0" fontId="3" fillId="55" borderId="179" xfId="284" applyNumberFormat="1" applyFont="1" applyFill="1" applyBorder="1" applyAlignment="1" applyProtection="1">
      <alignment horizontal="center"/>
      <protection locked="0"/>
    </xf>
    <xf numFmtId="164" fontId="3" fillId="0" borderId="257" xfId="0" applyNumberFormat="1" applyFont="1" applyFill="1" applyBorder="1" applyAlignment="1" applyProtection="1">
      <alignment horizontal="center"/>
      <protection hidden="1"/>
    </xf>
    <xf numFmtId="0" fontId="171" fillId="56" borderId="274" xfId="284" applyNumberFormat="1" applyFont="1" applyFill="1" applyBorder="1" applyAlignment="1" applyProtection="1">
      <alignment horizontal="left"/>
      <protection hidden="1"/>
    </xf>
    <xf numFmtId="0" fontId="171" fillId="56" borderId="257" xfId="284" applyNumberFormat="1" applyFont="1" applyFill="1" applyBorder="1" applyAlignment="1" applyProtection="1">
      <alignment horizontal="left"/>
      <protection hidden="1"/>
    </xf>
    <xf numFmtId="164" fontId="3" fillId="56" borderId="257" xfId="284" applyNumberFormat="1" applyFont="1" applyFill="1" applyBorder="1" applyAlignment="1" applyProtection="1">
      <alignment horizontal="center"/>
      <protection hidden="1"/>
    </xf>
    <xf numFmtId="2" fontId="47" fillId="44" borderId="17" xfId="0" applyNumberFormat="1" applyFont="1" applyFill="1" applyBorder="1" applyAlignment="1" applyProtection="1">
      <alignment horizontal="center"/>
      <protection locked="0"/>
    </xf>
    <xf numFmtId="4" fontId="47" fillId="44" borderId="17" xfId="0" applyNumberFormat="1" applyFont="1" applyFill="1" applyBorder="1" applyAlignment="1" applyProtection="1">
      <alignment horizontal="center"/>
      <protection locked="0"/>
    </xf>
    <xf numFmtId="0" fontId="47" fillId="37" borderId="212" xfId="108" applyNumberFormat="1" applyFont="1" applyFill="1" applyBorder="1" applyAlignment="1" applyProtection="1">
      <alignment horizontal="center"/>
      <protection locked="0"/>
    </xf>
    <xf numFmtId="0" fontId="47" fillId="42" borderId="162" xfId="67" applyFont="1" applyFill="1" applyBorder="1" applyAlignment="1" applyProtection="1">
      <alignment horizontal="center"/>
      <protection hidden="1"/>
    </xf>
    <xf numFmtId="0" fontId="47" fillId="0" borderId="193" xfId="0" applyFont="1" applyBorder="1" applyAlignment="1" applyProtection="1">
      <alignment horizontal="center"/>
      <protection hidden="1"/>
    </xf>
    <xf numFmtId="0" fontId="47" fillId="42" borderId="193" xfId="67" applyFont="1" applyFill="1" applyBorder="1" applyAlignment="1" applyProtection="1">
      <alignment horizontal="center"/>
      <protection hidden="1"/>
    </xf>
    <xf numFmtId="2" fontId="3" fillId="0" borderId="193" xfId="69" applyNumberFormat="1" applyFont="1" applyBorder="1" applyAlignment="1" applyProtection="1">
      <alignment horizontal="center"/>
      <protection hidden="1"/>
    </xf>
    <xf numFmtId="2" fontId="3" fillId="35" borderId="0" xfId="76" applyNumberFormat="1" applyFont="1" applyFill="1" applyAlignment="1" applyProtection="1">
      <protection hidden="1"/>
    </xf>
    <xf numFmtId="0" fontId="3" fillId="35" borderId="0" xfId="76" applyFont="1" applyFill="1" applyAlignment="1" applyProtection="1">
      <alignment horizontal="left"/>
      <protection hidden="1"/>
    </xf>
    <xf numFmtId="164" fontId="3" fillId="35" borderId="0" xfId="76" applyNumberFormat="1" applyFont="1" applyFill="1" applyAlignment="1" applyProtection="1">
      <protection hidden="1"/>
    </xf>
    <xf numFmtId="0" fontId="3" fillId="35" borderId="0" xfId="76" applyFont="1" applyFill="1" applyAlignment="1" applyProtection="1">
      <protection hidden="1"/>
    </xf>
    <xf numFmtId="0" fontId="3" fillId="35" borderId="0" xfId="86" applyFont="1" applyFill="1" applyAlignment="1" applyProtection="1">
      <protection hidden="1"/>
    </xf>
    <xf numFmtId="0" fontId="11" fillId="0" borderId="0" xfId="76" applyFont="1" applyFill="1" applyBorder="1" applyAlignment="1" applyProtection="1">
      <alignment horizontal="left"/>
      <protection hidden="1"/>
    </xf>
    <xf numFmtId="0" fontId="3" fillId="75" borderId="193" xfId="0" applyFont="1" applyFill="1" applyBorder="1" applyAlignment="1" applyProtection="1">
      <alignment horizontal="center"/>
      <protection locked="0"/>
    </xf>
    <xf numFmtId="164" fontId="57" fillId="35" borderId="175" xfId="69" applyNumberFormat="1" applyFont="1" applyFill="1" applyBorder="1" applyAlignment="1" applyProtection="1">
      <alignment horizontal="center" vertical="center" wrapText="1"/>
      <protection hidden="1"/>
    </xf>
    <xf numFmtId="1" fontId="3" fillId="0" borderId="179" xfId="69" applyNumberFormat="1" applyFont="1" applyBorder="1" applyAlignment="1" applyProtection="1">
      <alignment horizontal="center" vertical="center"/>
      <protection hidden="1"/>
    </xf>
    <xf numFmtId="1" fontId="3" fillId="0" borderId="165" xfId="69" applyNumberFormat="1" applyFont="1" applyBorder="1" applyAlignment="1" applyProtection="1">
      <alignment horizontal="center" vertical="center"/>
      <protection hidden="1"/>
    </xf>
    <xf numFmtId="1" fontId="3" fillId="35" borderId="165" xfId="69" applyNumberFormat="1" applyFont="1" applyFill="1" applyBorder="1" applyAlignment="1" applyProtection="1">
      <alignment horizontal="center" wrapText="1"/>
      <protection hidden="1"/>
    </xf>
    <xf numFmtId="1" fontId="3" fillId="0" borderId="193" xfId="69" applyNumberFormat="1" applyFont="1" applyBorder="1" applyAlignment="1" applyProtection="1">
      <alignment horizontal="center" vertical="center"/>
      <protection hidden="1"/>
    </xf>
    <xf numFmtId="1" fontId="47" fillId="0" borderId="165" xfId="108" applyNumberFormat="1" applyFont="1" applyBorder="1" applyAlignment="1" applyProtection="1">
      <alignment horizontal="center"/>
      <protection hidden="1"/>
    </xf>
    <xf numFmtId="0" fontId="324" fillId="0" borderId="165" xfId="69" applyFont="1" applyBorder="1" applyAlignment="1" applyProtection="1">
      <alignment horizontal="center" vertical="center"/>
      <protection locked="0"/>
    </xf>
    <xf numFmtId="0" fontId="324" fillId="0" borderId="165" xfId="108" applyFont="1" applyBorder="1" applyAlignment="1" applyProtection="1">
      <alignment horizontal="center"/>
      <protection locked="0"/>
    </xf>
    <xf numFmtId="0" fontId="168" fillId="51" borderId="232" xfId="69" applyFont="1" applyFill="1" applyBorder="1" applyAlignment="1" applyProtection="1"/>
    <xf numFmtId="0" fontId="197" fillId="0" borderId="0" xfId="0" applyFont="1" applyProtection="1"/>
    <xf numFmtId="0" fontId="197" fillId="42" borderId="0" xfId="104" applyFont="1" applyFill="1" applyProtection="1"/>
    <xf numFmtId="0" fontId="168" fillId="35" borderId="0" xfId="0" applyFont="1" applyFill="1" applyAlignment="1" applyProtection="1">
      <alignment horizontal="left"/>
    </xf>
    <xf numFmtId="0" fontId="168" fillId="53" borderId="0" xfId="108" applyFont="1" applyFill="1" applyAlignment="1" applyProtection="1"/>
    <xf numFmtId="0" fontId="13" fillId="0" borderId="277" xfId="76" applyFont="1" applyFill="1" applyBorder="1" applyAlignment="1" applyProtection="1">
      <alignment horizontal="center" vertical="center"/>
      <protection hidden="1"/>
    </xf>
    <xf numFmtId="0" fontId="13" fillId="0" borderId="277" xfId="86" applyFont="1" applyFill="1" applyBorder="1" applyAlignment="1" applyProtection="1">
      <alignment horizontal="center" vertical="center"/>
      <protection hidden="1"/>
    </xf>
    <xf numFmtId="1" fontId="13" fillId="0" borderId="277" xfId="76" applyNumberFormat="1" applyFont="1" applyFill="1" applyBorder="1" applyAlignment="1" applyProtection="1">
      <alignment horizontal="center" vertical="center"/>
      <protection hidden="1"/>
    </xf>
    <xf numFmtId="2" fontId="13" fillId="0" borderId="277" xfId="76" applyNumberFormat="1" applyFont="1" applyFill="1" applyBorder="1" applyAlignment="1" applyProtection="1">
      <alignment horizontal="center" vertical="center"/>
      <protection hidden="1"/>
    </xf>
    <xf numFmtId="0" fontId="13" fillId="35" borderId="277" xfId="76" applyFont="1" applyFill="1" applyBorder="1" applyAlignment="1" applyProtection="1">
      <alignment horizontal="center" vertical="center"/>
      <protection hidden="1"/>
    </xf>
    <xf numFmtId="2" fontId="13" fillId="35" borderId="277" xfId="76" applyNumberFormat="1" applyFont="1" applyFill="1" applyBorder="1" applyAlignment="1" applyProtection="1">
      <alignment horizontal="center" vertical="center"/>
      <protection hidden="1"/>
    </xf>
    <xf numFmtId="1" fontId="13" fillId="35" borderId="277" xfId="76" applyNumberFormat="1" applyFont="1" applyFill="1" applyBorder="1" applyAlignment="1" applyProtection="1">
      <alignment horizontal="center" vertical="center"/>
      <protection hidden="1"/>
    </xf>
    <xf numFmtId="172" fontId="13" fillId="0" borderId="277" xfId="76" applyNumberFormat="1" applyFont="1" applyBorder="1" applyAlignment="1" applyProtection="1">
      <alignment horizontal="center" vertical="center"/>
      <protection hidden="1"/>
    </xf>
    <xf numFmtId="0" fontId="13" fillId="0" borderId="277" xfId="86" applyFont="1" applyBorder="1" applyAlignment="1" applyProtection="1">
      <alignment vertical="center"/>
      <protection hidden="1"/>
    </xf>
    <xf numFmtId="173" fontId="13" fillId="0" borderId="277" xfId="76" applyNumberFormat="1" applyFont="1" applyBorder="1" applyAlignment="1" applyProtection="1">
      <alignment horizontal="center" vertical="center"/>
      <protection hidden="1"/>
    </xf>
    <xf numFmtId="1" fontId="3" fillId="36" borderId="277" xfId="86" applyNumberFormat="1" applyFont="1" applyFill="1" applyBorder="1" applyAlignment="1" applyProtection="1">
      <alignment vertical="center"/>
      <protection hidden="1"/>
    </xf>
    <xf numFmtId="0" fontId="3" fillId="36" borderId="277" xfId="76" applyFont="1" applyFill="1" applyBorder="1" applyAlignment="1" applyProtection="1">
      <alignment vertical="center"/>
      <protection hidden="1"/>
    </xf>
    <xf numFmtId="0" fontId="168" fillId="51" borderId="0" xfId="81" applyFont="1" applyFill="1" applyAlignment="1" applyProtection="1">
      <alignment horizontal="right"/>
    </xf>
    <xf numFmtId="0" fontId="3" fillId="35" borderId="0" xfId="69" applyFont="1" applyFill="1" applyBorder="1" applyAlignment="1" applyProtection="1">
      <alignment horizontal="right"/>
      <protection hidden="1"/>
    </xf>
    <xf numFmtId="0" fontId="1" fillId="35" borderId="0" xfId="69" applyFill="1" applyProtection="1">
      <protection hidden="1"/>
    </xf>
    <xf numFmtId="0" fontId="255" fillId="41" borderId="17" xfId="76" applyFont="1" applyFill="1" applyBorder="1" applyAlignment="1" applyProtection="1">
      <alignment horizontal="center"/>
    </xf>
    <xf numFmtId="0" fontId="299" fillId="7" borderId="17" xfId="76" applyFont="1" applyFill="1" applyBorder="1" applyAlignment="1" applyProtection="1">
      <alignment horizontal="center"/>
    </xf>
    <xf numFmtId="0" fontId="3" fillId="92" borderId="280" xfId="997" applyFont="1" applyFill="1" applyBorder="1" applyAlignment="1" applyProtection="1">
      <alignment horizontal="center"/>
      <protection hidden="1"/>
    </xf>
    <xf numFmtId="0" fontId="3" fillId="37" borderId="59" xfId="0" applyFont="1" applyFill="1" applyBorder="1" applyAlignment="1" applyProtection="1">
      <alignment horizontal="right" vertical="top" wrapText="1"/>
      <protection hidden="1"/>
    </xf>
    <xf numFmtId="0" fontId="3" fillId="37" borderId="61" xfId="0" applyFont="1" applyFill="1" applyBorder="1" applyAlignment="1" applyProtection="1">
      <alignment horizontal="right" vertical="top" wrapText="1"/>
      <protection hidden="1"/>
    </xf>
    <xf numFmtId="0" fontId="3" fillId="37" borderId="182" xfId="0" applyFont="1" applyFill="1" applyBorder="1" applyAlignment="1" applyProtection="1">
      <alignment horizontal="right" vertical="top" wrapText="1"/>
      <protection hidden="1"/>
    </xf>
    <xf numFmtId="0" fontId="42" fillId="37" borderId="54" xfId="0" applyFont="1" applyFill="1" applyBorder="1" applyAlignment="1" applyProtection="1">
      <alignment horizontal="right" vertical="top" wrapText="1"/>
      <protection hidden="1"/>
    </xf>
    <xf numFmtId="0" fontId="304" fillId="51" borderId="0" xfId="0" applyFont="1" applyFill="1" applyAlignment="1" applyProtection="1">
      <alignment horizontal="right"/>
      <protection hidden="1"/>
    </xf>
    <xf numFmtId="0" fontId="52" fillId="51" borderId="0" xfId="46" applyFont="1" applyFill="1" applyAlignment="1" applyProtection="1">
      <alignment vertical="center"/>
      <protection hidden="1"/>
    </xf>
    <xf numFmtId="0" fontId="150" fillId="51" borderId="0" xfId="0" applyFont="1" applyFill="1" applyAlignment="1" applyProtection="1">
      <alignment horizontal="left" vertical="top"/>
      <protection hidden="1"/>
    </xf>
    <xf numFmtId="0" fontId="3" fillId="51" borderId="0" xfId="0" applyFont="1" applyFill="1" applyAlignment="1" applyProtection="1">
      <protection hidden="1"/>
    </xf>
    <xf numFmtId="0" fontId="167" fillId="51" borderId="0" xfId="46" applyFont="1" applyFill="1" applyAlignment="1" applyProtection="1">
      <protection hidden="1"/>
    </xf>
    <xf numFmtId="0" fontId="10" fillId="0" borderId="0" xfId="0" applyFont="1" applyAlignment="1" applyProtection="1">
      <alignment horizontal="center" vertical="top"/>
      <protection hidden="1"/>
    </xf>
    <xf numFmtId="0" fontId="47" fillId="51" borderId="0" xfId="0" applyFont="1" applyFill="1" applyAlignment="1" applyProtection="1">
      <alignment horizontal="left" vertical="center" wrapText="1"/>
      <protection hidden="1"/>
    </xf>
    <xf numFmtId="0" fontId="20" fillId="51" borderId="0" xfId="0" applyFont="1" applyFill="1" applyAlignment="1" applyProtection="1">
      <alignment horizontal="center" vertical="center" wrapText="1"/>
      <protection hidden="1"/>
    </xf>
    <xf numFmtId="0" fontId="20" fillId="51" borderId="0" xfId="0" applyFont="1" applyFill="1" applyAlignment="1" applyProtection="1">
      <alignment horizontal="center" vertical="center"/>
      <protection hidden="1"/>
    </xf>
    <xf numFmtId="174" fontId="47" fillId="51" borderId="0" xfId="46" applyNumberFormat="1" applyFont="1" applyFill="1" applyAlignment="1" applyProtection="1">
      <alignment vertical="center"/>
      <protection hidden="1"/>
    </xf>
    <xf numFmtId="0" fontId="3" fillId="51" borderId="0" xfId="0" applyFont="1" applyFill="1" applyAlignment="1" applyProtection="1">
      <alignment horizontal="center"/>
      <protection hidden="1"/>
    </xf>
    <xf numFmtId="0" fontId="52" fillId="51" borderId="0" xfId="46" applyFont="1" applyFill="1" applyAlignment="1" applyProtection="1">
      <alignment horizontal="left" vertical="center"/>
      <protection hidden="1"/>
    </xf>
    <xf numFmtId="0" fontId="3" fillId="51" borderId="0" xfId="0" applyFont="1" applyFill="1" applyBorder="1" applyAlignment="1" applyProtection="1">
      <alignment horizontal="left" vertical="center"/>
      <protection hidden="1"/>
    </xf>
    <xf numFmtId="0" fontId="3" fillId="51" borderId="0" xfId="0" applyFont="1" applyFill="1" applyAlignment="1" applyProtection="1">
      <alignment horizontal="left" vertical="center"/>
      <protection hidden="1"/>
    </xf>
    <xf numFmtId="0" fontId="3" fillId="51" borderId="0" xfId="0" applyFont="1" applyFill="1" applyAlignment="1" applyProtection="1">
      <alignment horizontal="center" vertical="center"/>
      <protection hidden="1"/>
    </xf>
    <xf numFmtId="0" fontId="167" fillId="51" borderId="0" xfId="46" applyFont="1" applyFill="1" applyAlignment="1" applyProtection="1">
      <alignment horizontal="left"/>
      <protection hidden="1"/>
    </xf>
    <xf numFmtId="0" fontId="3" fillId="51" borderId="0" xfId="0" applyFont="1" applyFill="1" applyAlignment="1" applyProtection="1">
      <alignment vertical="center"/>
      <protection hidden="1"/>
    </xf>
    <xf numFmtId="0" fontId="162" fillId="51" borderId="0" xfId="0" applyFont="1" applyFill="1" applyAlignment="1" applyProtection="1">
      <alignment horizontal="center" vertical="center"/>
      <protection hidden="1"/>
    </xf>
    <xf numFmtId="0" fontId="86" fillId="51" borderId="0" xfId="0" applyFont="1" applyFill="1" applyAlignment="1" applyProtection="1">
      <alignment horizontal="center"/>
      <protection hidden="1"/>
    </xf>
    <xf numFmtId="2" fontId="115" fillId="51" borderId="0" xfId="49" applyNumberFormat="1" applyFont="1" applyFill="1" applyBorder="1" applyAlignment="1" applyProtection="1">
      <alignment horizontal="right"/>
      <protection hidden="1"/>
    </xf>
    <xf numFmtId="0" fontId="10" fillId="51" borderId="0" xfId="0" applyFont="1" applyFill="1" applyAlignment="1" applyProtection="1">
      <protection hidden="1"/>
    </xf>
    <xf numFmtId="0" fontId="115" fillId="51" borderId="0" xfId="49" applyFont="1" applyFill="1" applyBorder="1" applyAlignment="1" applyProtection="1">
      <alignment horizontal="right"/>
      <protection hidden="1"/>
    </xf>
    <xf numFmtId="0" fontId="115" fillId="51" borderId="0" xfId="49" applyFont="1" applyFill="1" applyAlignment="1" applyProtection="1">
      <alignment horizontal="right"/>
      <protection hidden="1"/>
    </xf>
    <xf numFmtId="0" fontId="34" fillId="51" borderId="0" xfId="0" applyFont="1" applyFill="1" applyAlignment="1" applyProtection="1">
      <alignment horizontal="center" vertical="top"/>
      <protection hidden="1"/>
    </xf>
    <xf numFmtId="0" fontId="22" fillId="51" borderId="0" xfId="0" applyFont="1" applyFill="1" applyAlignment="1" applyProtection="1">
      <alignment horizontal="right"/>
      <protection hidden="1"/>
    </xf>
    <xf numFmtId="0" fontId="18" fillId="51" borderId="0" xfId="0" applyFont="1" applyFill="1" applyAlignment="1" applyProtection="1">
      <alignment horizontal="left"/>
      <protection hidden="1"/>
    </xf>
    <xf numFmtId="0" fontId="304" fillId="51" borderId="0" xfId="107" applyFont="1" applyFill="1" applyAlignment="1" applyProtection="1">
      <alignment horizontal="left"/>
      <protection hidden="1"/>
    </xf>
    <xf numFmtId="0" fontId="3" fillId="51" borderId="0" xfId="0" applyFont="1" applyFill="1" applyAlignment="1" applyProtection="1">
      <alignment horizontal="left"/>
      <protection hidden="1"/>
    </xf>
    <xf numFmtId="0" fontId="199" fillId="51" borderId="0" xfId="46" applyFont="1" applyFill="1" applyAlignment="1" applyProtection="1">
      <alignment horizontal="left" vertical="center" wrapText="1"/>
      <protection hidden="1"/>
    </xf>
    <xf numFmtId="0" fontId="3" fillId="51" borderId="0" xfId="71" applyFont="1" applyFill="1" applyAlignment="1" applyProtection="1">
      <alignment horizontal="left" vertical="center"/>
      <protection hidden="1"/>
    </xf>
    <xf numFmtId="0" fontId="60" fillId="51" borderId="96" xfId="0" applyFont="1" applyFill="1" applyBorder="1" applyAlignment="1" applyProtection="1">
      <alignment horizontal="left"/>
      <protection hidden="1"/>
    </xf>
    <xf numFmtId="0" fontId="256" fillId="42" borderId="0" xfId="0" applyFont="1" applyFill="1" applyAlignment="1" applyProtection="1">
      <alignment horizontal="right"/>
      <protection hidden="1"/>
    </xf>
    <xf numFmtId="0" fontId="25" fillId="42" borderId="0" xfId="46" applyFont="1" applyFill="1" applyAlignment="1" applyProtection="1">
      <alignment horizontal="right"/>
      <protection hidden="1"/>
    </xf>
    <xf numFmtId="0" fontId="153" fillId="42" borderId="0" xfId="0" applyFont="1" applyFill="1" applyAlignment="1" applyProtection="1">
      <alignment horizontal="left"/>
      <protection hidden="1"/>
    </xf>
    <xf numFmtId="0" fontId="256" fillId="42" borderId="0" xfId="0" applyFont="1" applyFill="1" applyAlignment="1" applyProtection="1">
      <alignment horizontal="right" vertical="top"/>
      <protection hidden="1"/>
    </xf>
    <xf numFmtId="0" fontId="3" fillId="35" borderId="0" xfId="66" applyFont="1" applyFill="1" applyBorder="1" applyAlignment="1" applyProtection="1">
      <protection hidden="1"/>
    </xf>
    <xf numFmtId="0" fontId="60" fillId="42" borderId="0" xfId="0" applyFont="1" applyFill="1" applyAlignment="1" applyProtection="1">
      <protection hidden="1"/>
    </xf>
    <xf numFmtId="0" fontId="256" fillId="42" borderId="0" xfId="67" applyFont="1" applyFill="1" applyProtection="1">
      <protection hidden="1"/>
    </xf>
    <xf numFmtId="0" fontId="294" fillId="42" borderId="0" xfId="67" applyFont="1" applyFill="1" applyAlignment="1" applyProtection="1">
      <alignment horizontal="center"/>
      <protection hidden="1"/>
    </xf>
    <xf numFmtId="0" fontId="153" fillId="0" borderId="0" xfId="0" applyFont="1" applyBorder="1" applyAlignment="1" applyProtection="1">
      <alignment horizontal="left"/>
      <protection hidden="1"/>
    </xf>
    <xf numFmtId="0" fontId="153" fillId="42" borderId="96" xfId="108" applyFont="1" applyFill="1" applyBorder="1" applyAlignment="1" applyProtection="1">
      <alignment horizontal="left"/>
      <protection hidden="1"/>
    </xf>
    <xf numFmtId="164" fontId="20" fillId="51" borderId="142" xfId="0" applyNumberFormat="1" applyFont="1" applyFill="1" applyBorder="1" applyAlignment="1" applyProtection="1">
      <alignment horizontal="center"/>
      <protection hidden="1"/>
    </xf>
    <xf numFmtId="164" fontId="20" fillId="51" borderId="143" xfId="0" applyNumberFormat="1" applyFont="1" applyFill="1" applyBorder="1" applyAlignment="1" applyProtection="1">
      <alignment horizontal="center"/>
      <protection hidden="1"/>
    </xf>
    <xf numFmtId="0" fontId="3" fillId="70" borderId="142" xfId="61" applyFont="1" applyFill="1" applyBorder="1" applyAlignment="1" applyProtection="1">
      <alignment horizontal="center"/>
      <protection hidden="1"/>
    </xf>
    <xf numFmtId="0" fontId="3" fillId="70" borderId="143" xfId="61" applyFont="1" applyFill="1" applyBorder="1" applyAlignment="1" applyProtection="1">
      <alignment horizontal="center"/>
      <protection hidden="1"/>
    </xf>
    <xf numFmtId="0" fontId="47" fillId="35" borderId="162" xfId="67" applyFont="1" applyFill="1" applyBorder="1" applyAlignment="1" applyProtection="1">
      <alignment horizontal="center"/>
      <protection hidden="1"/>
    </xf>
    <xf numFmtId="0" fontId="47" fillId="35" borderId="163" xfId="67" applyFont="1" applyFill="1" applyBorder="1" applyAlignment="1" applyProtection="1">
      <alignment horizontal="center"/>
      <protection hidden="1"/>
    </xf>
    <xf numFmtId="0" fontId="47" fillId="35" borderId="162" xfId="67" applyFont="1" applyFill="1" applyBorder="1" applyAlignment="1" applyProtection="1">
      <alignment horizontal="center" wrapText="1"/>
      <protection hidden="1"/>
    </xf>
    <xf numFmtId="0" fontId="47" fillId="35" borderId="163" xfId="67" applyFont="1" applyFill="1" applyBorder="1" applyAlignment="1" applyProtection="1">
      <alignment horizontal="center" wrapText="1"/>
      <protection hidden="1"/>
    </xf>
    <xf numFmtId="0" fontId="47" fillId="35" borderId="164" xfId="67" applyFont="1" applyFill="1" applyBorder="1" applyAlignment="1" applyProtection="1">
      <alignment horizontal="center" wrapText="1"/>
      <protection hidden="1"/>
    </xf>
    <xf numFmtId="0" fontId="47" fillId="35" borderId="212" xfId="48" applyFont="1" applyFill="1" applyBorder="1" applyAlignment="1" applyProtection="1">
      <alignment horizontal="center" wrapText="1"/>
      <protection hidden="1"/>
    </xf>
    <xf numFmtId="0" fontId="47" fillId="35" borderId="164" xfId="48" applyFont="1" applyFill="1" applyBorder="1" applyAlignment="1" applyProtection="1">
      <alignment horizontal="center" wrapText="1"/>
      <protection hidden="1"/>
    </xf>
    <xf numFmtId="0" fontId="153" fillId="42" borderId="0" xfId="67" applyFont="1" applyFill="1" applyBorder="1" applyAlignment="1" applyProtection="1">
      <alignment horizontal="left"/>
      <protection hidden="1"/>
    </xf>
    <xf numFmtId="0" fontId="3" fillId="51" borderId="167" xfId="108" applyFont="1" applyFill="1" applyBorder="1" applyAlignment="1" applyProtection="1">
      <alignment horizontal="left" vertical="top" wrapText="1"/>
      <protection hidden="1"/>
    </xf>
    <xf numFmtId="0" fontId="3" fillId="51" borderId="0" xfId="108" applyFont="1" applyFill="1" applyBorder="1" applyAlignment="1" applyProtection="1">
      <alignment horizontal="left" vertical="top" wrapText="1"/>
      <protection hidden="1"/>
    </xf>
    <xf numFmtId="0" fontId="3" fillId="51" borderId="146" xfId="62" applyFont="1" applyFill="1" applyBorder="1" applyAlignment="1" applyProtection="1">
      <alignment horizontal="center"/>
      <protection hidden="1"/>
    </xf>
    <xf numFmtId="0" fontId="3" fillId="51" borderId="147" xfId="62" applyFont="1" applyFill="1" applyBorder="1" applyAlignment="1" applyProtection="1">
      <alignment horizontal="center"/>
      <protection hidden="1"/>
    </xf>
    <xf numFmtId="0" fontId="47" fillId="51" borderId="149" xfId="0" applyFont="1" applyFill="1" applyBorder="1" applyAlignment="1" applyProtection="1">
      <alignment horizontal="center"/>
      <protection hidden="1"/>
    </xf>
    <xf numFmtId="0" fontId="47" fillId="51" borderId="150" xfId="0" applyFont="1" applyFill="1" applyBorder="1" applyAlignment="1" applyProtection="1">
      <alignment horizontal="center"/>
      <protection hidden="1"/>
    </xf>
    <xf numFmtId="0" fontId="47" fillId="51" borderId="152" xfId="0" applyFont="1" applyFill="1" applyBorder="1" applyAlignment="1" applyProtection="1">
      <alignment horizontal="center"/>
      <protection hidden="1"/>
    </xf>
    <xf numFmtId="0" fontId="47" fillId="51" borderId="153" xfId="0" applyFont="1" applyFill="1" applyBorder="1" applyAlignment="1" applyProtection="1">
      <alignment horizontal="center"/>
      <protection hidden="1"/>
    </xf>
    <xf numFmtId="164" fontId="20" fillId="51" borderId="154" xfId="0" applyNumberFormat="1" applyFont="1" applyFill="1" applyBorder="1" applyAlignment="1" applyProtection="1">
      <alignment horizontal="center"/>
      <protection hidden="1"/>
    </xf>
    <xf numFmtId="164" fontId="20" fillId="51" borderId="155" xfId="0" applyNumberFormat="1" applyFont="1" applyFill="1" applyBorder="1" applyAlignment="1" applyProtection="1">
      <alignment horizontal="center"/>
      <protection hidden="1"/>
    </xf>
    <xf numFmtId="0" fontId="47" fillId="51" borderId="13" xfId="0" applyFont="1" applyFill="1" applyBorder="1" applyAlignment="1" applyProtection="1">
      <alignment horizontal="left"/>
      <protection hidden="1"/>
    </xf>
    <xf numFmtId="0" fontId="47" fillId="51" borderId="0" xfId="0" applyFont="1" applyFill="1" applyBorder="1" applyAlignment="1" applyProtection="1">
      <alignment horizontal="left"/>
      <protection hidden="1"/>
    </xf>
    <xf numFmtId="0" fontId="47" fillId="42" borderId="15" xfId="0" applyFont="1" applyFill="1" applyBorder="1" applyAlignment="1" applyProtection="1">
      <alignment horizontal="right"/>
      <protection hidden="1"/>
    </xf>
    <xf numFmtId="2" fontId="47" fillId="0" borderId="17" xfId="0" applyNumberFormat="1" applyFont="1" applyBorder="1" applyAlignment="1" applyProtection="1">
      <alignment horizontal="center"/>
      <protection hidden="1"/>
    </xf>
    <xf numFmtId="4" fontId="47" fillId="0" borderId="12" xfId="0" applyNumberFormat="1" applyFont="1" applyBorder="1" applyAlignment="1" applyProtection="1">
      <alignment horizontal="center"/>
      <protection hidden="1"/>
    </xf>
    <xf numFmtId="0" fontId="47" fillId="53" borderId="13" xfId="67" applyFont="1" applyFill="1" applyBorder="1" applyAlignment="1" applyProtection="1">
      <alignment horizontal="left" vertical="top" wrapText="1"/>
      <protection hidden="1"/>
    </xf>
    <xf numFmtId="0" fontId="47" fillId="53" borderId="0" xfId="67" applyFont="1" applyFill="1" applyAlignment="1" applyProtection="1">
      <alignment horizontal="left" vertical="top" wrapText="1"/>
      <protection hidden="1"/>
    </xf>
    <xf numFmtId="2" fontId="47" fillId="44" borderId="17" xfId="0" applyNumberFormat="1" applyFont="1" applyFill="1" applyBorder="1" applyAlignment="1" applyProtection="1">
      <alignment horizontal="center"/>
      <protection locked="0"/>
    </xf>
    <xf numFmtId="4" fontId="47" fillId="44" borderId="17" xfId="0" applyNumberFormat="1" applyFont="1" applyFill="1" applyBorder="1" applyAlignment="1" applyProtection="1">
      <alignment horizontal="center"/>
      <protection locked="0"/>
    </xf>
    <xf numFmtId="0" fontId="153" fillId="42" borderId="15" xfId="67" applyFont="1" applyFill="1" applyBorder="1" applyAlignment="1" applyProtection="1">
      <alignment horizontal="left"/>
      <protection hidden="1"/>
    </xf>
    <xf numFmtId="0" fontId="47" fillId="0" borderId="142" xfId="0" applyFont="1" applyBorder="1" applyAlignment="1" applyProtection="1">
      <alignment horizontal="center"/>
      <protection hidden="1"/>
    </xf>
    <xf numFmtId="0" fontId="47" fillId="0" borderId="143" xfId="0" applyFont="1" applyBorder="1" applyAlignment="1" applyProtection="1">
      <alignment horizontal="center"/>
      <protection hidden="1"/>
    </xf>
    <xf numFmtId="0" fontId="47" fillId="0" borderId="17" xfId="0" applyFont="1" applyBorder="1" applyProtection="1">
      <protection hidden="1"/>
    </xf>
    <xf numFmtId="0" fontId="47" fillId="42" borderId="23" xfId="67" applyFont="1" applyFill="1" applyBorder="1" applyAlignment="1" applyProtection="1">
      <alignment horizontal="center"/>
      <protection hidden="1"/>
    </xf>
    <xf numFmtId="4" fontId="47" fillId="0" borderId="17" xfId="0" applyNumberFormat="1" applyFont="1" applyBorder="1" applyAlignment="1" applyProtection="1">
      <alignment horizontal="center"/>
      <protection hidden="1"/>
    </xf>
    <xf numFmtId="0" fontId="60" fillId="42" borderId="16" xfId="67" applyFont="1" applyFill="1" applyBorder="1" applyAlignment="1" applyProtection="1">
      <alignment horizontal="right"/>
      <protection hidden="1"/>
    </xf>
    <xf numFmtId="0" fontId="47" fillId="51" borderId="13" xfId="0" applyFont="1" applyFill="1" applyBorder="1" applyAlignment="1" applyProtection="1">
      <alignment horizontal="center"/>
      <protection hidden="1"/>
    </xf>
    <xf numFmtId="0" fontId="47" fillId="51" borderId="0" xfId="0" applyFont="1" applyFill="1" applyBorder="1" applyAlignment="1" applyProtection="1">
      <alignment horizontal="center"/>
      <protection hidden="1"/>
    </xf>
    <xf numFmtId="0" fontId="153" fillId="42" borderId="0" xfId="67" applyFont="1" applyFill="1" applyAlignment="1" applyProtection="1">
      <alignment horizontal="left"/>
      <protection hidden="1"/>
    </xf>
    <xf numFmtId="0" fontId="47" fillId="42" borderId="14" xfId="67" applyFont="1" applyFill="1" applyBorder="1" applyAlignment="1" applyProtection="1">
      <protection hidden="1"/>
    </xf>
    <xf numFmtId="0" fontId="47" fillId="80" borderId="193" xfId="0" applyFont="1" applyFill="1" applyBorder="1" applyProtection="1">
      <protection hidden="1"/>
    </xf>
    <xf numFmtId="0" fontId="47" fillId="53" borderId="10" xfId="0" applyFont="1" applyFill="1" applyBorder="1" applyAlignment="1" applyProtection="1">
      <alignment horizontal="left"/>
      <protection hidden="1"/>
    </xf>
    <xf numFmtId="0" fontId="47" fillId="42" borderId="16" xfId="0" applyFont="1" applyFill="1" applyBorder="1" applyAlignment="1" applyProtection="1">
      <alignment horizontal="left"/>
      <protection hidden="1"/>
    </xf>
    <xf numFmtId="0" fontId="160" fillId="42" borderId="0" xfId="60" applyFont="1" applyFill="1" applyAlignment="1" applyProtection="1">
      <alignment horizontal="left"/>
      <protection hidden="1"/>
    </xf>
    <xf numFmtId="0" fontId="40" fillId="42" borderId="254" xfId="60" applyFont="1" applyFill="1" applyBorder="1" applyAlignment="1" applyProtection="1">
      <alignment horizontal="right"/>
      <protection hidden="1"/>
    </xf>
    <xf numFmtId="0" fontId="47" fillId="42" borderId="0" xfId="67" applyFont="1" applyFill="1" applyAlignment="1" applyProtection="1">
      <alignment horizontal="center" vertical="top" wrapText="1"/>
      <protection hidden="1"/>
    </xf>
    <xf numFmtId="0" fontId="3" fillId="35" borderId="0" xfId="68" applyFont="1" applyFill="1" applyAlignment="1" applyProtection="1">
      <alignment horizontal="center"/>
      <protection hidden="1"/>
    </xf>
    <xf numFmtId="0" fontId="47" fillId="42" borderId="0" xfId="67" applyFont="1" applyFill="1" applyAlignment="1" applyProtection="1">
      <alignment horizontal="center"/>
      <protection hidden="1"/>
    </xf>
    <xf numFmtId="0" fontId="47" fillId="44" borderId="13" xfId="0" applyFont="1" applyFill="1" applyBorder="1" applyAlignment="1" applyProtection="1">
      <alignment wrapText="1"/>
      <protection locked="0"/>
    </xf>
    <xf numFmtId="0" fontId="47" fillId="44" borderId="15" xfId="0" applyFont="1" applyFill="1" applyBorder="1" applyAlignment="1" applyProtection="1">
      <alignment wrapText="1"/>
      <protection locked="0"/>
    </xf>
    <xf numFmtId="0" fontId="47" fillId="44" borderId="13" xfId="0" applyFont="1" applyFill="1" applyBorder="1" applyProtection="1">
      <protection locked="0"/>
    </xf>
    <xf numFmtId="0" fontId="47" fillId="44" borderId="15" xfId="0" applyFont="1" applyFill="1" applyBorder="1" applyProtection="1">
      <protection locked="0"/>
    </xf>
    <xf numFmtId="0" fontId="47" fillId="42" borderId="21" xfId="67" applyFont="1" applyFill="1" applyBorder="1" applyAlignment="1" applyProtection="1">
      <alignment vertical="top"/>
      <protection hidden="1"/>
    </xf>
    <xf numFmtId="164" fontId="47" fillId="11" borderId="17" xfId="67" applyNumberFormat="1" applyFont="1" applyFill="1" applyBorder="1" applyAlignment="1" applyProtection="1">
      <alignment horizontal="center"/>
      <protection hidden="1"/>
    </xf>
    <xf numFmtId="9" fontId="47" fillId="42" borderId="0" xfId="96" applyFont="1" applyFill="1" applyBorder="1" applyAlignment="1" applyProtection="1">
      <alignment horizontal="center" vertical="top" wrapText="1"/>
      <protection hidden="1"/>
    </xf>
    <xf numFmtId="0" fontId="153" fillId="42" borderId="0" xfId="67" applyFont="1" applyFill="1" applyAlignment="1" applyProtection="1">
      <protection hidden="1"/>
    </xf>
    <xf numFmtId="0" fontId="47" fillId="42" borderId="11" xfId="67" applyFont="1" applyFill="1" applyBorder="1" applyAlignment="1" applyProtection="1">
      <alignment horizontal="center" wrapText="1"/>
      <protection hidden="1"/>
    </xf>
    <xf numFmtId="0" fontId="165" fillId="42" borderId="0" xfId="0" applyFont="1" applyFill="1" applyAlignment="1" applyProtection="1">
      <alignment horizontal="right"/>
      <protection hidden="1"/>
    </xf>
    <xf numFmtId="0" fontId="91" fillId="42" borderId="0" xfId="67" applyFont="1" applyFill="1" applyAlignment="1" applyProtection="1">
      <alignment horizontal="left"/>
      <protection hidden="1"/>
    </xf>
    <xf numFmtId="0" fontId="165" fillId="42" borderId="0" xfId="67" applyFont="1" applyFill="1" applyAlignment="1" applyProtection="1">
      <alignment horizontal="right"/>
      <protection hidden="1"/>
    </xf>
    <xf numFmtId="0" fontId="25" fillId="42" borderId="0" xfId="46" applyFont="1" applyFill="1" applyAlignment="1" applyProtection="1">
      <alignment horizontal="left"/>
      <protection hidden="1"/>
    </xf>
    <xf numFmtId="0" fontId="47" fillId="42" borderId="139" xfId="108" applyFill="1" applyBorder="1" applyAlignment="1" applyProtection="1">
      <alignment horizontal="left"/>
      <protection hidden="1"/>
    </xf>
    <xf numFmtId="0" fontId="47" fillId="42" borderId="140" xfId="108" applyFill="1" applyBorder="1" applyAlignment="1" applyProtection="1">
      <alignment horizontal="left"/>
      <protection hidden="1"/>
    </xf>
    <xf numFmtId="0" fontId="13" fillId="0" borderId="11" xfId="67" applyFont="1" applyBorder="1" applyAlignment="1" applyProtection="1">
      <alignment horizontal="left"/>
      <protection hidden="1"/>
    </xf>
    <xf numFmtId="0" fontId="13" fillId="0" borderId="16" xfId="67" applyFont="1" applyBorder="1" applyAlignment="1" applyProtection="1">
      <alignment horizontal="left"/>
      <protection hidden="1"/>
    </xf>
    <xf numFmtId="0" fontId="47" fillId="0" borderId="19" xfId="0" applyNumberFormat="1" applyFont="1" applyBorder="1" applyAlignment="1" applyProtection="1">
      <alignment horizontal="center"/>
      <protection hidden="1"/>
    </xf>
    <xf numFmtId="0" fontId="47" fillId="0" borderId="17" xfId="0" applyNumberFormat="1" applyFont="1" applyBorder="1" applyAlignment="1" applyProtection="1">
      <alignment horizontal="center"/>
      <protection hidden="1"/>
    </xf>
    <xf numFmtId="0" fontId="47" fillId="35" borderId="22" xfId="0" applyFont="1" applyFill="1" applyBorder="1" applyAlignment="1" applyProtection="1">
      <alignment horizontal="center"/>
      <protection hidden="1"/>
    </xf>
    <xf numFmtId="0" fontId="47" fillId="35" borderId="19" xfId="0" applyFont="1" applyFill="1" applyBorder="1" applyAlignment="1" applyProtection="1">
      <alignment horizontal="center"/>
      <protection hidden="1"/>
    </xf>
    <xf numFmtId="0" fontId="165" fillId="35" borderId="0" xfId="67" applyFont="1" applyFill="1" applyAlignment="1" applyProtection="1">
      <alignment horizontal="left"/>
      <protection hidden="1"/>
    </xf>
    <xf numFmtId="0" fontId="11" fillId="35" borderId="0" xfId="0" applyNumberFormat="1" applyFont="1" applyFill="1" applyBorder="1" applyAlignment="1" applyProtection="1">
      <alignment horizontal="center"/>
      <protection hidden="1"/>
    </xf>
    <xf numFmtId="0" fontId="33" fillId="50" borderId="12" xfId="67" applyFont="1" applyFill="1" applyBorder="1" applyAlignment="1" applyProtection="1">
      <alignment horizontal="center" wrapText="1"/>
      <protection hidden="1"/>
    </xf>
    <xf numFmtId="0" fontId="47" fillId="44" borderId="13" xfId="67" applyFont="1" applyFill="1" applyBorder="1" applyProtection="1">
      <protection locked="0"/>
    </xf>
    <xf numFmtId="0" fontId="47" fillId="44" borderId="15" xfId="67" applyFont="1" applyFill="1" applyBorder="1" applyProtection="1">
      <protection locked="0"/>
    </xf>
    <xf numFmtId="0" fontId="17" fillId="42" borderId="18" xfId="67" applyFont="1" applyFill="1" applyBorder="1" applyProtection="1">
      <protection hidden="1"/>
    </xf>
    <xf numFmtId="0" fontId="154" fillId="35" borderId="0" xfId="0" applyNumberFormat="1" applyFont="1" applyFill="1" applyBorder="1" applyAlignment="1" applyProtection="1">
      <alignment horizontal="left"/>
      <protection hidden="1"/>
    </xf>
    <xf numFmtId="0" fontId="47" fillId="42" borderId="10" xfId="67" applyFont="1" applyFill="1" applyBorder="1" applyAlignment="1" applyProtection="1">
      <alignment horizontal="right" wrapText="1"/>
      <protection hidden="1"/>
    </xf>
    <xf numFmtId="0" fontId="47" fillId="42" borderId="24" xfId="67" applyFont="1" applyFill="1" applyBorder="1" applyAlignment="1" applyProtection="1">
      <alignment horizontal="right" wrapText="1"/>
      <protection hidden="1"/>
    </xf>
    <xf numFmtId="0" fontId="47" fillId="42" borderId="20" xfId="67" applyFont="1" applyFill="1" applyBorder="1" applyAlignment="1" applyProtection="1">
      <alignment horizontal="right" wrapText="1"/>
      <protection hidden="1"/>
    </xf>
    <xf numFmtId="0" fontId="47" fillId="42" borderId="23" xfId="67" applyFont="1" applyFill="1" applyBorder="1" applyAlignment="1" applyProtection="1">
      <alignment horizontal="right" wrapText="1"/>
      <protection hidden="1"/>
    </xf>
    <xf numFmtId="0" fontId="47" fillId="47" borderId="16" xfId="67" applyFont="1" applyFill="1" applyBorder="1" applyAlignment="1" applyProtection="1">
      <alignment horizontal="center" wrapText="1"/>
      <protection hidden="1"/>
    </xf>
    <xf numFmtId="0" fontId="162" fillId="48" borderId="16" xfId="67" applyFont="1" applyFill="1" applyBorder="1" applyAlignment="1" applyProtection="1">
      <alignment horizontal="center" wrapText="1"/>
      <protection hidden="1"/>
    </xf>
    <xf numFmtId="0" fontId="47" fillId="49" borderId="16" xfId="67" applyFont="1" applyFill="1" applyBorder="1" applyAlignment="1" applyProtection="1">
      <alignment horizontal="center" wrapText="1"/>
      <protection hidden="1"/>
    </xf>
    <xf numFmtId="0" fontId="3" fillId="56" borderId="157" xfId="0" applyNumberFormat="1" applyFont="1" applyFill="1" applyBorder="1" applyAlignment="1" applyProtection="1">
      <alignment horizontal="left"/>
      <protection hidden="1"/>
    </xf>
    <xf numFmtId="0" fontId="3" fillId="56" borderId="158" xfId="0" applyNumberFormat="1" applyFont="1" applyFill="1" applyBorder="1" applyAlignment="1" applyProtection="1">
      <alignment horizontal="left"/>
      <protection hidden="1"/>
    </xf>
    <xf numFmtId="0" fontId="3" fillId="56" borderId="159" xfId="0" applyNumberFormat="1" applyFont="1" applyFill="1" applyBorder="1" applyAlignment="1" applyProtection="1">
      <alignment horizontal="left"/>
      <protection hidden="1"/>
    </xf>
    <xf numFmtId="0" fontId="146" fillId="51" borderId="154" xfId="108" applyFont="1" applyFill="1" applyBorder="1" applyAlignment="1" applyProtection="1">
      <alignment horizontal="center"/>
      <protection hidden="1"/>
    </xf>
    <xf numFmtId="0" fontId="146" fillId="51" borderId="155" xfId="108" applyFont="1" applyFill="1" applyBorder="1" applyAlignment="1" applyProtection="1">
      <alignment horizontal="center"/>
      <protection hidden="1"/>
    </xf>
    <xf numFmtId="0" fontId="230" fillId="51" borderId="0" xfId="108" applyFont="1" applyFill="1" applyBorder="1" applyAlignment="1" applyProtection="1">
      <alignment horizontal="left"/>
      <protection hidden="1"/>
    </xf>
    <xf numFmtId="0" fontId="47" fillId="42" borderId="166" xfId="108" applyFill="1" applyBorder="1" applyAlignment="1" applyProtection="1">
      <alignment horizontal="left"/>
      <protection hidden="1"/>
    </xf>
    <xf numFmtId="0" fontId="47" fillId="42" borderId="168" xfId="108" applyFill="1" applyBorder="1" applyAlignment="1" applyProtection="1">
      <alignment horizontal="left"/>
      <protection hidden="1"/>
    </xf>
    <xf numFmtId="0" fontId="47" fillId="42" borderId="20" xfId="108" applyFill="1" applyBorder="1" applyAlignment="1" applyProtection="1">
      <alignment horizontal="left"/>
      <protection hidden="1"/>
    </xf>
    <xf numFmtId="0" fontId="47" fillId="42" borderId="23" xfId="108" applyFill="1" applyBorder="1" applyAlignment="1" applyProtection="1">
      <alignment horizontal="left"/>
      <protection hidden="1"/>
    </xf>
    <xf numFmtId="0" fontId="47" fillId="42" borderId="142" xfId="108" applyFill="1" applyBorder="1" applyAlignment="1" applyProtection="1">
      <alignment horizontal="left"/>
      <protection hidden="1"/>
    </xf>
    <xf numFmtId="0" fontId="47" fillId="42" borderId="143" xfId="108" applyFill="1" applyBorder="1" applyAlignment="1" applyProtection="1">
      <alignment horizontal="left"/>
      <protection hidden="1"/>
    </xf>
    <xf numFmtId="0" fontId="47" fillId="42" borderId="162" xfId="108" applyFill="1" applyBorder="1" applyAlignment="1" applyProtection="1">
      <alignment horizontal="left"/>
      <protection hidden="1"/>
    </xf>
    <xf numFmtId="0" fontId="47" fillId="42" borderId="164" xfId="108" applyFill="1" applyBorder="1" applyAlignment="1" applyProtection="1">
      <alignment horizontal="left"/>
      <protection hidden="1"/>
    </xf>
    <xf numFmtId="0" fontId="3" fillId="51" borderId="167" xfId="215" applyFont="1" applyFill="1" applyBorder="1" applyAlignment="1" applyProtection="1">
      <alignment horizontal="left" vertical="top" wrapText="1"/>
      <protection hidden="1"/>
    </xf>
    <xf numFmtId="0" fontId="3" fillId="51" borderId="0" xfId="215" applyFont="1" applyFill="1" applyBorder="1" applyAlignment="1" applyProtection="1">
      <alignment horizontal="left" vertical="top" wrapText="1"/>
      <protection hidden="1"/>
    </xf>
    <xf numFmtId="0" fontId="171" fillId="42" borderId="167" xfId="108" applyFont="1" applyFill="1" applyBorder="1" applyAlignment="1" applyProtection="1">
      <alignment horizontal="left" vertical="center" wrapText="1"/>
      <protection hidden="1"/>
    </xf>
    <xf numFmtId="0" fontId="171" fillId="42" borderId="0" xfId="108" applyFont="1" applyFill="1" applyBorder="1" applyAlignment="1" applyProtection="1">
      <alignment horizontal="left" vertical="center" wrapText="1"/>
      <protection hidden="1"/>
    </xf>
    <xf numFmtId="0" fontId="3" fillId="56" borderId="274" xfId="284" applyNumberFormat="1" applyFont="1" applyFill="1" applyBorder="1" applyAlignment="1" applyProtection="1">
      <alignment horizontal="left"/>
      <protection hidden="1"/>
    </xf>
    <xf numFmtId="0" fontId="3" fillId="56" borderId="275" xfId="284" applyNumberFormat="1" applyFont="1" applyFill="1" applyBorder="1" applyAlignment="1" applyProtection="1">
      <alignment horizontal="left"/>
      <protection hidden="1"/>
    </xf>
    <xf numFmtId="0" fontId="3" fillId="0" borderId="274" xfId="0" applyNumberFormat="1" applyFont="1" applyFill="1" applyBorder="1" applyAlignment="1" applyProtection="1">
      <alignment horizontal="center"/>
      <protection hidden="1"/>
    </xf>
    <xf numFmtId="0" fontId="3" fillId="0" borderId="261" xfId="0" applyNumberFormat="1" applyFont="1" applyFill="1" applyBorder="1" applyAlignment="1" applyProtection="1">
      <alignment horizontal="center"/>
      <protection hidden="1"/>
    </xf>
    <xf numFmtId="0" fontId="3" fillId="55" borderId="274" xfId="284" applyNumberFormat="1" applyFont="1" applyFill="1" applyBorder="1" applyAlignment="1" applyProtection="1">
      <alignment horizontal="center" wrapText="1"/>
      <protection locked="0"/>
    </xf>
    <xf numFmtId="0" fontId="3" fillId="55" borderId="261" xfId="284" applyNumberFormat="1" applyFont="1" applyFill="1" applyBorder="1" applyAlignment="1" applyProtection="1">
      <alignment horizontal="center" wrapText="1"/>
      <protection locked="0"/>
    </xf>
    <xf numFmtId="0" fontId="3" fillId="0" borderId="96" xfId="0" applyNumberFormat="1" applyFont="1" applyFill="1" applyBorder="1" applyAlignment="1" applyProtection="1">
      <alignment horizontal="right"/>
      <protection hidden="1"/>
    </xf>
    <xf numFmtId="0" fontId="47" fillId="42" borderId="0" xfId="108" applyFont="1" applyFill="1" applyAlignment="1" applyProtection="1">
      <alignment horizontal="center"/>
      <protection hidden="1"/>
    </xf>
    <xf numFmtId="0" fontId="47" fillId="35" borderId="142" xfId="88" applyFont="1" applyFill="1" applyBorder="1" applyAlignment="1" applyProtection="1">
      <alignment horizontal="left"/>
      <protection hidden="1"/>
    </xf>
    <xf numFmtId="0" fontId="47" fillId="35" borderId="141" xfId="88" applyFont="1" applyFill="1" applyBorder="1" applyAlignment="1" applyProtection="1">
      <alignment horizontal="left"/>
      <protection hidden="1"/>
    </xf>
    <xf numFmtId="0" fontId="3" fillId="56" borderId="166" xfId="0" applyNumberFormat="1" applyFont="1" applyFill="1" applyBorder="1" applyAlignment="1" applyProtection="1">
      <alignment horizontal="left"/>
      <protection hidden="1"/>
    </xf>
    <xf numFmtId="0" fontId="3" fillId="56" borderId="138" xfId="0" applyNumberFormat="1" applyFont="1" applyFill="1" applyBorder="1" applyAlignment="1" applyProtection="1">
      <alignment horizontal="left"/>
      <protection hidden="1"/>
    </xf>
    <xf numFmtId="0" fontId="3" fillId="56" borderId="168" xfId="0" applyNumberFormat="1" applyFont="1" applyFill="1" applyBorder="1" applyAlignment="1" applyProtection="1">
      <alignment horizontal="left"/>
      <protection hidden="1"/>
    </xf>
    <xf numFmtId="0" fontId="3" fillId="56" borderId="167" xfId="0" applyNumberFormat="1" applyFont="1" applyFill="1" applyBorder="1" applyAlignment="1" applyProtection="1">
      <alignment horizontal="left" vertical="center" wrapText="1"/>
      <protection hidden="1"/>
    </xf>
    <xf numFmtId="0" fontId="3" fillId="56" borderId="0" xfId="0" applyNumberFormat="1" applyFont="1" applyFill="1" applyBorder="1" applyAlignment="1" applyProtection="1">
      <alignment horizontal="left" vertical="center" wrapText="1"/>
      <protection hidden="1"/>
    </xf>
    <xf numFmtId="0" fontId="171" fillId="56" borderId="167" xfId="0" applyNumberFormat="1" applyFont="1" applyFill="1" applyBorder="1" applyAlignment="1" applyProtection="1">
      <alignment horizontal="left"/>
      <protection hidden="1"/>
    </xf>
    <xf numFmtId="0" fontId="171" fillId="56" borderId="0" xfId="0" applyNumberFormat="1" applyFont="1" applyFill="1" applyBorder="1" applyAlignment="1" applyProtection="1">
      <alignment horizontal="left"/>
      <protection hidden="1"/>
    </xf>
    <xf numFmtId="9" fontId="47" fillId="42" borderId="256" xfId="96" applyFont="1" applyFill="1" applyBorder="1" applyAlignment="1" applyProtection="1">
      <alignment horizontal="center" vertical="top" wrapText="1"/>
      <protection hidden="1"/>
    </xf>
    <xf numFmtId="164" fontId="47" fillId="53" borderId="20" xfId="67" applyNumberFormat="1" applyFont="1" applyFill="1" applyBorder="1" applyAlignment="1" applyProtection="1">
      <alignment horizontal="left"/>
      <protection hidden="1"/>
    </xf>
    <xf numFmtId="0" fontId="3" fillId="51" borderId="167" xfId="0" applyFont="1" applyFill="1" applyBorder="1" applyAlignment="1" applyProtection="1">
      <alignment horizontal="left" vertical="center" wrapText="1"/>
      <protection hidden="1"/>
    </xf>
    <xf numFmtId="0" fontId="3" fillId="51" borderId="0" xfId="0" applyFont="1" applyFill="1" applyBorder="1" applyAlignment="1" applyProtection="1">
      <alignment horizontal="left" vertical="center" wrapText="1"/>
      <protection hidden="1"/>
    </xf>
    <xf numFmtId="0" fontId="11" fillId="0" borderId="21" xfId="0" applyFont="1" applyBorder="1" applyAlignment="1" applyProtection="1">
      <alignment horizontal="center"/>
      <protection hidden="1"/>
    </xf>
    <xf numFmtId="0" fontId="11" fillId="0" borderId="22" xfId="0" applyFont="1" applyBorder="1" applyAlignment="1" applyProtection="1">
      <alignment horizontal="center"/>
      <protection hidden="1"/>
    </xf>
    <xf numFmtId="0" fontId="11" fillId="0" borderId="19" xfId="0" applyFont="1" applyBorder="1" applyAlignment="1" applyProtection="1">
      <alignment horizontal="center"/>
      <protection hidden="1"/>
    </xf>
    <xf numFmtId="0" fontId="157" fillId="42" borderId="10" xfId="67" applyFont="1" applyFill="1" applyBorder="1" applyAlignment="1" applyProtection="1">
      <protection hidden="1"/>
    </xf>
    <xf numFmtId="0" fontId="157" fillId="42" borderId="24" xfId="67" applyFont="1" applyFill="1" applyBorder="1" applyAlignment="1" applyProtection="1">
      <protection hidden="1"/>
    </xf>
    <xf numFmtId="0" fontId="157" fillId="42" borderId="20" xfId="67" applyFont="1" applyFill="1" applyBorder="1" applyAlignment="1" applyProtection="1">
      <protection hidden="1"/>
    </xf>
    <xf numFmtId="0" fontId="157" fillId="42" borderId="23" xfId="67" applyFont="1" applyFill="1" applyBorder="1" applyAlignment="1" applyProtection="1">
      <protection hidden="1"/>
    </xf>
    <xf numFmtId="0" fontId="47" fillId="42" borderId="10" xfId="67" applyFont="1" applyFill="1" applyBorder="1" applyAlignment="1" applyProtection="1">
      <alignment horizontal="center"/>
      <protection hidden="1"/>
    </xf>
    <xf numFmtId="0" fontId="47" fillId="42" borderId="24" xfId="67" applyFont="1" applyFill="1" applyBorder="1" applyAlignment="1" applyProtection="1">
      <alignment horizontal="center"/>
      <protection hidden="1"/>
    </xf>
    <xf numFmtId="0" fontId="153" fillId="42" borderId="0" xfId="67" applyFont="1" applyFill="1" applyProtection="1">
      <protection hidden="1"/>
    </xf>
    <xf numFmtId="0" fontId="63" fillId="51" borderId="0" xfId="66" applyFont="1" applyFill="1" applyAlignment="1" applyProtection="1">
      <alignment horizontal="center"/>
      <protection hidden="1"/>
    </xf>
    <xf numFmtId="165" fontId="3" fillId="35" borderId="225" xfId="69" applyNumberFormat="1" applyFont="1" applyFill="1" applyBorder="1" applyAlignment="1" applyProtection="1">
      <alignment horizontal="center"/>
      <protection hidden="1"/>
    </xf>
    <xf numFmtId="0" fontId="3" fillId="35" borderId="162" xfId="69" applyNumberFormat="1" applyFont="1" applyFill="1" applyBorder="1" applyAlignment="1" applyProtection="1">
      <alignment horizontal="center"/>
      <protection hidden="1"/>
    </xf>
    <xf numFmtId="0" fontId="3" fillId="35" borderId="164" xfId="69" applyNumberFormat="1" applyFont="1" applyFill="1" applyBorder="1" applyAlignment="1" applyProtection="1">
      <alignment horizontal="center"/>
      <protection hidden="1"/>
    </xf>
    <xf numFmtId="1" fontId="47" fillId="35" borderId="212" xfId="67" applyNumberFormat="1" applyFont="1" applyFill="1" applyBorder="1" applyAlignment="1" applyProtection="1">
      <alignment horizontal="center"/>
      <protection hidden="1"/>
    </xf>
    <xf numFmtId="1" fontId="47" fillId="35" borderId="163" xfId="67" applyNumberFormat="1" applyFont="1" applyFill="1" applyBorder="1" applyAlignment="1" applyProtection="1">
      <alignment horizontal="center"/>
      <protection hidden="1"/>
    </xf>
    <xf numFmtId="1" fontId="47" fillId="35" borderId="164" xfId="67" applyNumberFormat="1" applyFont="1" applyFill="1" applyBorder="1" applyAlignment="1" applyProtection="1">
      <alignment horizontal="center"/>
      <protection hidden="1"/>
    </xf>
    <xf numFmtId="0" fontId="171" fillId="35" borderId="197" xfId="66" applyFont="1" applyFill="1" applyBorder="1" applyAlignment="1" applyProtection="1">
      <alignment horizontal="center"/>
      <protection hidden="1"/>
    </xf>
    <xf numFmtId="0" fontId="15" fillId="35" borderId="22" xfId="66" applyFont="1" applyFill="1" applyBorder="1" applyAlignment="1" applyProtection="1">
      <protection hidden="1"/>
    </xf>
    <xf numFmtId="0" fontId="15" fillId="35" borderId="19" xfId="66" applyFont="1" applyFill="1" applyBorder="1" applyAlignment="1" applyProtection="1">
      <protection hidden="1"/>
    </xf>
    <xf numFmtId="0" fontId="3" fillId="0" borderId="18" xfId="66" applyFont="1" applyFill="1" applyBorder="1" applyAlignment="1" applyProtection="1">
      <alignment horizontal="left"/>
      <protection hidden="1"/>
    </xf>
    <xf numFmtId="0" fontId="3" fillId="0" borderId="24" xfId="66" applyFont="1" applyFill="1" applyBorder="1" applyAlignment="1" applyProtection="1">
      <alignment horizontal="left"/>
      <protection hidden="1"/>
    </xf>
    <xf numFmtId="0" fontId="277" fillId="0" borderId="166" xfId="69" applyNumberFormat="1" applyFont="1" applyBorder="1" applyAlignment="1" applyProtection="1">
      <alignment horizontal="center" vertical="center" wrapText="1"/>
      <protection hidden="1"/>
    </xf>
    <xf numFmtId="0" fontId="277" fillId="0" borderId="168" xfId="69" applyNumberFormat="1" applyFont="1" applyBorder="1" applyAlignment="1" applyProtection="1">
      <alignment horizontal="center" vertical="center" wrapText="1"/>
      <protection hidden="1"/>
    </xf>
    <xf numFmtId="0" fontId="277" fillId="0" borderId="167" xfId="69" applyNumberFormat="1" applyFont="1" applyBorder="1" applyAlignment="1" applyProtection="1">
      <alignment horizontal="center" vertical="center" wrapText="1"/>
      <protection hidden="1"/>
    </xf>
    <xf numFmtId="0" fontId="277" fillId="0" borderId="15" xfId="69" applyNumberFormat="1" applyFont="1" applyBorder="1" applyAlignment="1" applyProtection="1">
      <alignment horizontal="center" vertical="center" wrapText="1"/>
      <protection hidden="1"/>
    </xf>
    <xf numFmtId="0" fontId="277" fillId="0" borderId="20" xfId="69" applyNumberFormat="1" applyFont="1" applyBorder="1" applyAlignment="1" applyProtection="1">
      <alignment horizontal="center" vertical="center" wrapText="1"/>
      <protection hidden="1"/>
    </xf>
    <xf numFmtId="0" fontId="277" fillId="0" borderId="23" xfId="69" applyNumberFormat="1" applyFont="1" applyBorder="1" applyAlignment="1" applyProtection="1">
      <alignment horizontal="center" vertical="center" wrapText="1"/>
      <protection hidden="1"/>
    </xf>
    <xf numFmtId="0" fontId="279" fillId="0" borderId="166" xfId="69" applyNumberFormat="1" applyFont="1" applyBorder="1" applyAlignment="1" applyProtection="1">
      <alignment horizontal="center" vertical="center" wrapText="1"/>
      <protection hidden="1"/>
    </xf>
    <xf numFmtId="0" fontId="279" fillId="0" borderId="168" xfId="69" applyNumberFormat="1" applyFont="1" applyBorder="1" applyAlignment="1" applyProtection="1">
      <alignment horizontal="center" vertical="center" wrapText="1"/>
      <protection hidden="1"/>
    </xf>
    <xf numFmtId="0" fontId="279" fillId="0" borderId="167" xfId="69" applyNumberFormat="1" applyFont="1" applyBorder="1" applyAlignment="1" applyProtection="1">
      <alignment horizontal="center" vertical="center" wrapText="1"/>
      <protection hidden="1"/>
    </xf>
    <xf numFmtId="0" fontId="279" fillId="0" borderId="15" xfId="69" applyNumberFormat="1" applyFont="1" applyBorder="1" applyAlignment="1" applyProtection="1">
      <alignment horizontal="center" vertical="center" wrapText="1"/>
      <protection hidden="1"/>
    </xf>
    <xf numFmtId="0" fontId="279" fillId="0" borderId="20" xfId="69" applyNumberFormat="1" applyFont="1" applyBorder="1" applyAlignment="1" applyProtection="1">
      <alignment horizontal="center" vertical="center" wrapText="1"/>
      <protection hidden="1"/>
    </xf>
    <xf numFmtId="0" fontId="279" fillId="0" borderId="23" xfId="69" applyNumberFormat="1" applyFont="1" applyBorder="1" applyAlignment="1" applyProtection="1">
      <alignment horizontal="center" vertical="center" wrapText="1"/>
      <protection hidden="1"/>
    </xf>
    <xf numFmtId="0" fontId="281" fillId="0" borderId="166" xfId="69" applyNumberFormat="1" applyFont="1" applyBorder="1" applyAlignment="1" applyProtection="1">
      <alignment horizontal="center" vertical="center" wrapText="1"/>
      <protection hidden="1"/>
    </xf>
    <xf numFmtId="0" fontId="281" fillId="0" borderId="168" xfId="69" applyNumberFormat="1" applyFont="1" applyBorder="1" applyAlignment="1" applyProtection="1">
      <alignment horizontal="center" vertical="center" wrapText="1"/>
      <protection hidden="1"/>
    </xf>
    <xf numFmtId="0" fontId="281" fillId="0" borderId="167" xfId="69" applyNumberFormat="1" applyFont="1" applyBorder="1" applyAlignment="1" applyProtection="1">
      <alignment horizontal="center" vertical="center" wrapText="1"/>
      <protection hidden="1"/>
    </xf>
    <xf numFmtId="0" fontId="281" fillId="0" borderId="15" xfId="69" applyNumberFormat="1" applyFont="1" applyBorder="1" applyAlignment="1" applyProtection="1">
      <alignment horizontal="center" vertical="center" wrapText="1"/>
      <protection hidden="1"/>
    </xf>
    <xf numFmtId="0" fontId="281" fillId="0" borderId="20" xfId="69" applyNumberFormat="1" applyFont="1" applyBorder="1" applyAlignment="1" applyProtection="1">
      <alignment horizontal="center" vertical="center" wrapText="1"/>
      <protection hidden="1"/>
    </xf>
    <xf numFmtId="0" fontId="281" fillId="0" borderId="23" xfId="69" applyNumberFormat="1" applyFont="1" applyBorder="1" applyAlignment="1" applyProtection="1">
      <alignment horizontal="center" vertical="center" wrapText="1"/>
      <protection hidden="1"/>
    </xf>
    <xf numFmtId="0" fontId="3" fillId="35" borderId="225" xfId="69" applyFont="1" applyFill="1" applyBorder="1" applyAlignment="1" applyProtection="1">
      <alignment horizontal="center"/>
      <protection hidden="1"/>
    </xf>
    <xf numFmtId="0" fontId="3" fillId="35" borderId="162" xfId="69" applyFont="1" applyFill="1" applyBorder="1" applyAlignment="1" applyProtection="1">
      <alignment horizontal="center"/>
      <protection hidden="1"/>
    </xf>
    <xf numFmtId="0" fontId="3" fillId="35" borderId="164" xfId="69" applyFont="1" applyFill="1" applyBorder="1" applyAlignment="1" applyProtection="1">
      <alignment horizontal="center"/>
      <protection hidden="1"/>
    </xf>
    <xf numFmtId="0" fontId="47" fillId="42" borderId="212" xfId="108" applyFont="1" applyFill="1" applyBorder="1" applyAlignment="1" applyProtection="1">
      <alignment horizontal="center"/>
      <protection hidden="1"/>
    </xf>
    <xf numFmtId="0" fontId="47" fillId="42" borderId="163" xfId="108" applyFont="1" applyFill="1" applyBorder="1" applyAlignment="1" applyProtection="1">
      <alignment horizontal="center"/>
      <protection hidden="1"/>
    </xf>
    <xf numFmtId="0" fontId="47" fillId="42" borderId="164" xfId="108" applyFont="1" applyFill="1" applyBorder="1" applyAlignment="1" applyProtection="1">
      <alignment horizontal="center"/>
      <protection hidden="1"/>
    </xf>
    <xf numFmtId="0" fontId="47" fillId="45" borderId="162" xfId="108" applyNumberFormat="1" applyFill="1" applyBorder="1" applyAlignment="1" applyProtection="1">
      <alignment horizontal="center"/>
      <protection hidden="1"/>
    </xf>
    <xf numFmtId="0" fontId="47" fillId="45" borderId="164" xfId="108" applyNumberFormat="1" applyFill="1" applyBorder="1" applyAlignment="1" applyProtection="1">
      <alignment horizontal="center"/>
      <protection hidden="1"/>
    </xf>
    <xf numFmtId="165" fontId="47" fillId="42" borderId="163" xfId="108" applyNumberFormat="1" applyFill="1" applyBorder="1" applyAlignment="1" applyProtection="1">
      <alignment horizontal="center"/>
      <protection hidden="1"/>
    </xf>
    <xf numFmtId="165" fontId="47" fillId="42" borderId="164" xfId="108" applyNumberFormat="1" applyFill="1" applyBorder="1" applyAlignment="1" applyProtection="1">
      <alignment horizontal="center"/>
      <protection hidden="1"/>
    </xf>
    <xf numFmtId="0" fontId="47" fillId="0" borderId="212" xfId="0" applyFont="1" applyBorder="1" applyAlignment="1" applyProtection="1">
      <alignment horizontal="center"/>
      <protection hidden="1"/>
    </xf>
    <xf numFmtId="0" fontId="85" fillId="0" borderId="163" xfId="0" applyFont="1" applyBorder="1" applyProtection="1">
      <protection hidden="1"/>
    </xf>
    <xf numFmtId="0" fontId="85" fillId="0" borderId="164" xfId="0" applyFont="1" applyBorder="1" applyProtection="1">
      <protection hidden="1"/>
    </xf>
    <xf numFmtId="165" fontId="47" fillId="42" borderId="212" xfId="108" applyNumberFormat="1" applyFill="1" applyBorder="1" applyAlignment="1" applyProtection="1">
      <alignment horizontal="center"/>
      <protection hidden="1"/>
    </xf>
    <xf numFmtId="0" fontId="47" fillId="37" borderId="212" xfId="108" applyNumberFormat="1" applyFill="1" applyBorder="1" applyAlignment="1" applyProtection="1">
      <alignment horizontal="center"/>
      <protection locked="0"/>
    </xf>
    <xf numFmtId="0" fontId="47" fillId="37" borderId="163" xfId="108" applyNumberFormat="1" applyFill="1" applyBorder="1" applyAlignment="1" applyProtection="1">
      <alignment horizontal="center"/>
      <protection locked="0"/>
    </xf>
    <xf numFmtId="0" fontId="47" fillId="51" borderId="212" xfId="108" applyNumberFormat="1" applyFont="1" applyFill="1" applyBorder="1" applyAlignment="1" applyProtection="1">
      <alignment horizontal="center"/>
      <protection hidden="1"/>
    </xf>
    <xf numFmtId="0" fontId="47" fillId="51" borderId="164" xfId="108" applyNumberFormat="1" applyFont="1" applyFill="1" applyBorder="1" applyAlignment="1" applyProtection="1">
      <alignment horizontal="center"/>
      <protection hidden="1"/>
    </xf>
    <xf numFmtId="0" fontId="47" fillId="37" borderId="253" xfId="108" applyNumberFormat="1" applyFill="1" applyBorder="1" applyAlignment="1" applyProtection="1">
      <alignment horizontal="center"/>
      <protection locked="0"/>
    </xf>
    <xf numFmtId="0" fontId="263" fillId="51" borderId="0" xfId="69" applyFont="1" applyFill="1" applyBorder="1" applyAlignment="1" applyProtection="1">
      <alignment horizontal="left"/>
      <protection hidden="1"/>
    </xf>
    <xf numFmtId="0" fontId="47" fillId="37" borderId="212" xfId="108" applyNumberFormat="1" applyFont="1" applyFill="1" applyBorder="1" applyAlignment="1" applyProtection="1">
      <alignment horizontal="center"/>
      <protection locked="0"/>
    </xf>
    <xf numFmtId="0" fontId="47" fillId="37" borderId="164" xfId="108" applyNumberFormat="1" applyFont="1" applyFill="1" applyBorder="1" applyAlignment="1" applyProtection="1">
      <alignment horizontal="center"/>
      <protection locked="0"/>
    </xf>
    <xf numFmtId="0" fontId="47" fillId="37" borderId="164" xfId="108" applyNumberFormat="1" applyFill="1" applyBorder="1" applyAlignment="1" applyProtection="1">
      <alignment horizontal="center"/>
      <protection locked="0"/>
    </xf>
    <xf numFmtId="0" fontId="47" fillId="45" borderId="212" xfId="108" applyFont="1" applyFill="1" applyBorder="1" applyAlignment="1" applyProtection="1">
      <alignment horizontal="center"/>
      <protection hidden="1"/>
    </xf>
    <xf numFmtId="0" fontId="47" fillId="45" borderId="164" xfId="108" applyFont="1" applyFill="1" applyBorder="1" applyAlignment="1" applyProtection="1">
      <alignment horizontal="center"/>
      <protection hidden="1"/>
    </xf>
    <xf numFmtId="0" fontId="47" fillId="45" borderId="162" xfId="108" applyNumberFormat="1" applyFill="1" applyBorder="1" applyAlignment="1" applyProtection="1">
      <alignment horizontal="center" wrapText="1"/>
      <protection hidden="1"/>
    </xf>
    <xf numFmtId="0" fontId="47" fillId="45" borderId="164" xfId="108" applyNumberFormat="1" applyFill="1" applyBorder="1" applyAlignment="1" applyProtection="1">
      <alignment horizontal="center" wrapText="1"/>
      <protection hidden="1"/>
    </xf>
    <xf numFmtId="0" fontId="47" fillId="45" borderId="162" xfId="108" applyNumberFormat="1" applyFont="1" applyFill="1" applyBorder="1" applyAlignment="1" applyProtection="1">
      <alignment horizontal="center"/>
      <protection hidden="1"/>
    </xf>
    <xf numFmtId="0" fontId="47" fillId="45" borderId="164" xfId="108" applyNumberFormat="1" applyFont="1" applyFill="1" applyBorder="1" applyAlignment="1" applyProtection="1">
      <alignment horizontal="center"/>
      <protection hidden="1"/>
    </xf>
    <xf numFmtId="0" fontId="56" fillId="35" borderId="0" xfId="78" applyFont="1" applyFill="1" applyBorder="1" applyAlignment="1" applyProtection="1">
      <alignment horizontal="left"/>
      <protection hidden="1"/>
    </xf>
    <xf numFmtId="0" fontId="22" fillId="35" borderId="0" xfId="66" applyFont="1" applyFill="1" applyBorder="1" applyAlignment="1" applyProtection="1">
      <alignment horizontal="right"/>
      <protection hidden="1"/>
    </xf>
    <xf numFmtId="0" fontId="25" fillId="35" borderId="0" xfId="46" applyFont="1" applyFill="1" applyBorder="1" applyAlignment="1" applyProtection="1">
      <alignment horizontal="left"/>
      <protection hidden="1"/>
    </xf>
    <xf numFmtId="0" fontId="59" fillId="51" borderId="96" xfId="0" applyFont="1" applyFill="1" applyBorder="1" applyAlignment="1" applyProtection="1">
      <alignment horizontal="left"/>
      <protection hidden="1"/>
    </xf>
    <xf numFmtId="0" fontId="47" fillId="45" borderId="225" xfId="108" applyFont="1" applyFill="1" applyBorder="1" applyAlignment="1" applyProtection="1">
      <alignment horizontal="center"/>
      <protection hidden="1"/>
    </xf>
    <xf numFmtId="0" fontId="59" fillId="45" borderId="96" xfId="0" applyFont="1" applyFill="1" applyBorder="1" applyAlignment="1" applyProtection="1">
      <alignment horizontal="left"/>
      <protection hidden="1"/>
    </xf>
    <xf numFmtId="0" fontId="47" fillId="42" borderId="163" xfId="108" applyNumberFormat="1" applyFill="1" applyBorder="1" applyAlignment="1" applyProtection="1">
      <alignment horizontal="center"/>
      <protection hidden="1"/>
    </xf>
    <xf numFmtId="0" fontId="47" fillId="42" borderId="164" xfId="108" applyNumberFormat="1" applyFill="1" applyBorder="1" applyAlignment="1" applyProtection="1">
      <alignment horizontal="center"/>
      <protection hidden="1"/>
    </xf>
    <xf numFmtId="0" fontId="47" fillId="35" borderId="212" xfId="67" applyFont="1" applyFill="1" applyBorder="1" applyAlignment="1" applyProtection="1">
      <alignment horizontal="center"/>
      <protection hidden="1"/>
    </xf>
    <xf numFmtId="0" fontId="47" fillId="35" borderId="164" xfId="67" applyFont="1" applyFill="1" applyBorder="1" applyAlignment="1" applyProtection="1">
      <alignment horizontal="center"/>
      <protection hidden="1"/>
    </xf>
    <xf numFmtId="2" fontId="245" fillId="42" borderId="267" xfId="67" applyNumberFormat="1" applyFont="1" applyFill="1" applyBorder="1" applyAlignment="1" applyProtection="1">
      <alignment horizontal="center" vertical="top" wrapText="1"/>
      <protection hidden="1"/>
    </xf>
    <xf numFmtId="0" fontId="0" fillId="0" borderId="256" xfId="0" applyBorder="1"/>
    <xf numFmtId="0" fontId="0" fillId="0" borderId="268" xfId="0" applyBorder="1"/>
    <xf numFmtId="0" fontId="0" fillId="0" borderId="167" xfId="0" applyBorder="1"/>
    <xf numFmtId="0" fontId="0" fillId="0" borderId="0" xfId="0"/>
    <xf numFmtId="0" fontId="0" fillId="0" borderId="269" xfId="0" applyBorder="1"/>
    <xf numFmtId="0" fontId="0" fillId="0" borderId="175" xfId="0" applyBorder="1"/>
    <xf numFmtId="0" fontId="0" fillId="0" borderId="96" xfId="0" applyBorder="1"/>
    <xf numFmtId="0" fontId="0" fillId="0" borderId="176" xfId="0" applyBorder="1"/>
    <xf numFmtId="0" fontId="47" fillId="0" borderId="52" xfId="0" applyFont="1" applyFill="1" applyBorder="1" applyAlignment="1" applyProtection="1">
      <alignment horizontal="left"/>
      <protection hidden="1"/>
    </xf>
    <xf numFmtId="0" fontId="47" fillId="0" borderId="0" xfId="0" applyFont="1" applyFill="1" applyBorder="1" applyAlignment="1" applyProtection="1">
      <alignment horizontal="left"/>
      <protection hidden="1"/>
    </xf>
    <xf numFmtId="0" fontId="126" fillId="35" borderId="0" xfId="67" applyFont="1" applyFill="1" applyBorder="1" applyAlignment="1" applyProtection="1">
      <alignment horizontal="left"/>
      <protection hidden="1"/>
    </xf>
    <xf numFmtId="0" fontId="129" fillId="35" borderId="193" xfId="67" applyFont="1" applyFill="1" applyBorder="1" applyAlignment="1" applyProtection="1">
      <alignment horizontal="center"/>
      <protection hidden="1"/>
    </xf>
    <xf numFmtId="0" fontId="126" fillId="35" borderId="193" xfId="67" applyFont="1" applyFill="1" applyBorder="1" applyAlignment="1" applyProtection="1">
      <alignment horizontal="center"/>
      <protection hidden="1"/>
    </xf>
    <xf numFmtId="0" fontId="171" fillId="51" borderId="197" xfId="0" applyFont="1" applyFill="1" applyBorder="1" applyAlignment="1" applyProtection="1">
      <alignment horizontal="center"/>
      <protection hidden="1"/>
    </xf>
    <xf numFmtId="0" fontId="47" fillId="42" borderId="162" xfId="67" applyFont="1" applyFill="1" applyBorder="1" applyAlignment="1" applyProtection="1">
      <alignment horizontal="center"/>
      <protection hidden="1"/>
    </xf>
    <xf numFmtId="0" fontId="47" fillId="42" borderId="164" xfId="67" applyFont="1" applyFill="1" applyBorder="1" applyAlignment="1" applyProtection="1">
      <alignment horizontal="center"/>
      <protection hidden="1"/>
    </xf>
    <xf numFmtId="0" fontId="47" fillId="0" borderId="193" xfId="0" applyFont="1" applyBorder="1" applyAlignment="1" applyProtection="1">
      <alignment horizontal="center"/>
      <protection hidden="1"/>
    </xf>
    <xf numFmtId="0" fontId="47" fillId="42" borderId="193" xfId="67" applyFont="1" applyFill="1" applyBorder="1" applyAlignment="1" applyProtection="1">
      <alignment horizontal="center"/>
      <protection hidden="1"/>
    </xf>
    <xf numFmtId="2" fontId="3" fillId="0" borderId="193" xfId="69" applyNumberFormat="1" applyFont="1" applyBorder="1" applyAlignment="1" applyProtection="1">
      <alignment horizontal="center"/>
      <protection hidden="1"/>
    </xf>
    <xf numFmtId="0" fontId="20" fillId="35" borderId="0" xfId="0" applyFont="1" applyFill="1" applyAlignment="1" applyProtection="1">
      <alignment horizontal="left"/>
      <protection hidden="1"/>
    </xf>
    <xf numFmtId="0" fontId="3" fillId="35" borderId="0" xfId="84" applyFont="1" applyFill="1" applyProtection="1">
      <protection hidden="1"/>
    </xf>
    <xf numFmtId="0" fontId="3" fillId="35" borderId="0" xfId="84" applyFont="1" applyFill="1" applyAlignment="1" applyProtection="1">
      <alignment horizontal="left" wrapText="1"/>
      <protection hidden="1"/>
    </xf>
    <xf numFmtId="0" fontId="263" fillId="35" borderId="0" xfId="84" applyFont="1" applyFill="1" applyAlignment="1" applyProtection="1">
      <protection hidden="1"/>
    </xf>
    <xf numFmtId="0" fontId="51" fillId="0" borderId="0" xfId="0" applyFont="1" applyAlignment="1" applyProtection="1">
      <protection hidden="1"/>
    </xf>
    <xf numFmtId="0" fontId="47" fillId="0" borderId="162" xfId="0" applyFont="1" applyBorder="1" applyAlignment="1" applyProtection="1">
      <alignment horizontal="center"/>
      <protection hidden="1"/>
    </xf>
    <xf numFmtId="0" fontId="47" fillId="0" borderId="164" xfId="0" applyFont="1" applyBorder="1" applyAlignment="1" applyProtection="1">
      <alignment horizontal="center"/>
      <protection hidden="1"/>
    </xf>
    <xf numFmtId="0" fontId="252" fillId="35" borderId="162" xfId="69" applyFont="1" applyFill="1" applyBorder="1" applyAlignment="1" applyProtection="1">
      <alignment horizontal="center"/>
      <protection hidden="1"/>
    </xf>
    <xf numFmtId="0" fontId="252" fillId="35" borderId="164" xfId="69" applyFont="1" applyFill="1" applyBorder="1" applyAlignment="1" applyProtection="1">
      <alignment horizontal="center"/>
      <protection hidden="1"/>
    </xf>
    <xf numFmtId="0" fontId="22" fillId="35" borderId="0" xfId="66" applyFont="1" applyFill="1" applyBorder="1" applyAlignment="1" applyProtection="1">
      <alignment horizontal="left"/>
      <protection hidden="1"/>
    </xf>
    <xf numFmtId="0" fontId="22" fillId="35" borderId="0" xfId="82" applyFont="1" applyFill="1" applyBorder="1" applyAlignment="1" applyProtection="1">
      <alignment horizontal="right"/>
      <protection hidden="1"/>
    </xf>
    <xf numFmtId="0" fontId="47" fillId="42" borderId="212" xfId="67" applyFont="1" applyFill="1" applyBorder="1" applyAlignment="1" applyProtection="1">
      <alignment horizontal="center"/>
      <protection hidden="1"/>
    </xf>
    <xf numFmtId="0" fontId="3" fillId="0" borderId="0" xfId="0" applyFont="1" applyFill="1" applyBorder="1" applyAlignment="1" applyProtection="1">
      <alignment horizontal="left"/>
      <protection hidden="1"/>
    </xf>
    <xf numFmtId="0" fontId="3" fillId="0" borderId="203" xfId="0" applyFont="1" applyFill="1" applyBorder="1" applyAlignment="1" applyProtection="1">
      <alignment horizontal="left"/>
      <protection hidden="1"/>
    </xf>
    <xf numFmtId="0" fontId="289" fillId="51" borderId="0" xfId="0" applyFont="1" applyFill="1" applyAlignment="1" applyProtection="1">
      <alignment horizontal="left" readingOrder="1"/>
      <protection hidden="1"/>
    </xf>
    <xf numFmtId="0" fontId="194" fillId="35" borderId="0" xfId="69" applyFont="1" applyFill="1" applyBorder="1" applyAlignment="1" applyProtection="1">
      <alignment horizontal="center" vertical="center" wrapText="1"/>
      <protection hidden="1"/>
    </xf>
    <xf numFmtId="0" fontId="22" fillId="35" borderId="0" xfId="0" applyFont="1" applyFill="1" applyBorder="1" applyAlignment="1" applyProtection="1">
      <alignment vertical="center"/>
      <protection hidden="1"/>
    </xf>
    <xf numFmtId="0" fontId="52" fillId="0" borderId="0" xfId="46" applyFont="1" applyFill="1" applyBorder="1" applyAlignment="1" applyProtection="1">
      <alignment horizontal="left"/>
      <protection hidden="1"/>
    </xf>
    <xf numFmtId="0" fontId="52" fillId="0" borderId="210" xfId="46" applyFont="1" applyFill="1" applyBorder="1" applyAlignment="1" applyProtection="1">
      <alignment horizontal="left"/>
      <protection hidden="1"/>
    </xf>
    <xf numFmtId="2" fontId="273" fillId="0" borderId="175" xfId="66" applyNumberFormat="1" applyFont="1" applyFill="1" applyBorder="1" applyAlignment="1" applyProtection="1">
      <alignment horizontal="left"/>
      <protection hidden="1"/>
    </xf>
    <xf numFmtId="2" fontId="273" fillId="0" borderId="96" xfId="66" applyNumberFormat="1" applyFont="1" applyFill="1" applyBorder="1" applyAlignment="1" applyProtection="1">
      <alignment horizontal="left"/>
      <protection hidden="1"/>
    </xf>
    <xf numFmtId="2" fontId="273" fillId="0" borderId="176" xfId="66" applyNumberFormat="1" applyFont="1" applyFill="1" applyBorder="1" applyAlignment="1" applyProtection="1">
      <alignment horizontal="left"/>
      <protection hidden="1"/>
    </xf>
    <xf numFmtId="0" fontId="25" fillId="35" borderId="0" xfId="46" applyFont="1" applyFill="1" applyAlignment="1" applyProtection="1">
      <alignment horizontal="left"/>
      <protection hidden="1"/>
    </xf>
    <xf numFmtId="0" fontId="22" fillId="35" borderId="0" xfId="84" applyFont="1" applyFill="1" applyBorder="1" applyAlignment="1" applyProtection="1">
      <alignment horizontal="right"/>
      <protection hidden="1"/>
    </xf>
    <xf numFmtId="0" fontId="25" fillId="35" borderId="0" xfId="46" applyFont="1" applyFill="1" applyAlignment="1" applyProtection="1">
      <protection hidden="1"/>
    </xf>
    <xf numFmtId="0" fontId="3" fillId="0" borderId="52" xfId="84" applyBorder="1" applyAlignment="1" applyProtection="1">
      <alignment horizontal="center"/>
      <protection hidden="1"/>
    </xf>
    <xf numFmtId="0" fontId="3" fillId="0" borderId="0" xfId="84" applyBorder="1" applyAlignment="1" applyProtection="1">
      <alignment horizontal="center"/>
      <protection hidden="1"/>
    </xf>
    <xf numFmtId="165" fontId="26" fillId="0" borderId="167" xfId="69" applyNumberFormat="1" applyFont="1" applyBorder="1" applyAlignment="1" applyProtection="1">
      <alignment horizontal="center"/>
      <protection hidden="1"/>
    </xf>
    <xf numFmtId="165" fontId="26" fillId="0" borderId="220" xfId="69" applyNumberFormat="1" applyFont="1" applyBorder="1" applyAlignment="1" applyProtection="1">
      <alignment horizontal="center"/>
      <protection hidden="1"/>
    </xf>
    <xf numFmtId="164" fontId="40" fillId="35" borderId="167" xfId="69" applyNumberFormat="1" applyFont="1" applyFill="1" applyBorder="1" applyAlignment="1" applyProtection="1">
      <alignment horizontal="right"/>
      <protection hidden="1"/>
    </xf>
    <xf numFmtId="164" fontId="40" fillId="35" borderId="0" xfId="69" applyNumberFormat="1" applyFont="1" applyFill="1" applyBorder="1" applyAlignment="1" applyProtection="1">
      <alignment horizontal="right"/>
      <protection hidden="1"/>
    </xf>
    <xf numFmtId="0" fontId="47" fillId="53" borderId="0" xfId="108" applyFont="1" applyFill="1" applyAlignment="1" applyProtection="1">
      <alignment horizontal="left" wrapText="1"/>
      <protection hidden="1"/>
    </xf>
    <xf numFmtId="0" fontId="47" fillId="51" borderId="0" xfId="0" applyFont="1" applyFill="1" applyAlignment="1" applyProtection="1">
      <alignment horizontal="left"/>
      <protection hidden="1"/>
    </xf>
    <xf numFmtId="0" fontId="3" fillId="92" borderId="195" xfId="997" applyFont="1" applyFill="1" applyBorder="1" applyAlignment="1" applyProtection="1">
      <alignment horizontal="left"/>
      <protection hidden="1"/>
    </xf>
    <xf numFmtId="0" fontId="3" fillId="92" borderId="100" xfId="997" applyFont="1" applyFill="1" applyBorder="1" applyAlignment="1" applyProtection="1">
      <alignment horizontal="left"/>
      <protection hidden="1"/>
    </xf>
    <xf numFmtId="0" fontId="47" fillId="51" borderId="194" xfId="342" applyFont="1" applyFill="1" applyBorder="1" applyAlignment="1" applyProtection="1">
      <alignment horizontal="left"/>
      <protection hidden="1"/>
    </xf>
    <xf numFmtId="0" fontId="11" fillId="35" borderId="0" xfId="0" applyFont="1" applyFill="1" applyBorder="1" applyAlignment="1" applyProtection="1">
      <protection hidden="1"/>
    </xf>
    <xf numFmtId="0" fontId="11" fillId="35" borderId="15" xfId="0" applyFont="1" applyFill="1" applyBorder="1" applyAlignment="1" applyProtection="1">
      <protection hidden="1"/>
    </xf>
    <xf numFmtId="0" fontId="52" fillId="0" borderId="52" xfId="46" applyFont="1" applyBorder="1" applyAlignment="1" applyProtection="1">
      <alignment horizontal="left"/>
      <protection hidden="1"/>
    </xf>
    <xf numFmtId="0" fontId="52" fillId="0" borderId="0" xfId="46" applyFont="1" applyBorder="1" applyAlignment="1" applyProtection="1">
      <alignment horizontal="left"/>
      <protection hidden="1"/>
    </xf>
    <xf numFmtId="0" fontId="52" fillId="0" borderId="0" xfId="46" applyFont="1" applyAlignment="1" applyProtection="1">
      <alignment horizontal="center" vertical="center"/>
      <protection hidden="1"/>
    </xf>
    <xf numFmtId="0" fontId="3" fillId="0" borderId="52" xfId="69" applyFont="1" applyFill="1" applyBorder="1" applyAlignment="1" applyProtection="1">
      <alignment horizontal="left"/>
      <protection hidden="1"/>
    </xf>
    <xf numFmtId="0" fontId="3" fillId="0" borderId="0" xfId="69" applyFont="1" applyFill="1" applyBorder="1" applyAlignment="1" applyProtection="1">
      <alignment horizontal="left"/>
      <protection hidden="1"/>
    </xf>
    <xf numFmtId="0" fontId="3" fillId="35" borderId="96" xfId="73" applyFont="1" applyFill="1" applyBorder="1" applyAlignment="1" applyProtection="1">
      <alignment horizontal="left" wrapText="1"/>
      <protection hidden="1"/>
    </xf>
    <xf numFmtId="0" fontId="5" fillId="35" borderId="212" xfId="73" applyFont="1" applyFill="1" applyBorder="1" applyAlignment="1" applyProtection="1">
      <alignment horizontal="center"/>
      <protection hidden="1"/>
    </xf>
    <xf numFmtId="0" fontId="5" fillId="35" borderId="164" xfId="73" applyFont="1" applyFill="1" applyBorder="1" applyAlignment="1" applyProtection="1">
      <alignment horizontal="center"/>
      <protection hidden="1"/>
    </xf>
    <xf numFmtId="1" fontId="5" fillId="37" borderId="212" xfId="73" applyNumberFormat="1" applyFont="1" applyFill="1" applyBorder="1" applyAlignment="1" applyProtection="1">
      <alignment horizontal="center"/>
      <protection locked="0"/>
    </xf>
    <xf numFmtId="1" fontId="5" fillId="37" borderId="164" xfId="73" applyNumberFormat="1" applyFont="1" applyFill="1" applyBorder="1" applyAlignment="1" applyProtection="1">
      <alignment horizontal="center"/>
      <protection locked="0"/>
    </xf>
    <xf numFmtId="0" fontId="52" fillId="0" borderId="167" xfId="46" applyFont="1" applyFill="1" applyBorder="1" applyAlignment="1" applyProtection="1">
      <alignment horizontal="left"/>
      <protection hidden="1"/>
    </xf>
    <xf numFmtId="0" fontId="52" fillId="0" borderId="51" xfId="46" applyFont="1" applyFill="1" applyBorder="1" applyAlignment="1" applyProtection="1">
      <alignment horizontal="left"/>
      <protection hidden="1"/>
    </xf>
    <xf numFmtId="0" fontId="47" fillId="51" borderId="212" xfId="0" applyFont="1" applyFill="1" applyBorder="1" applyAlignment="1" applyProtection="1">
      <alignment horizontal="left"/>
      <protection hidden="1"/>
    </xf>
    <xf numFmtId="0" fontId="47" fillId="51" borderId="164" xfId="0" applyFont="1" applyFill="1" applyBorder="1" applyAlignment="1" applyProtection="1">
      <alignment horizontal="left"/>
      <protection hidden="1"/>
    </xf>
    <xf numFmtId="0" fontId="157" fillId="51" borderId="0" xfId="0" applyFont="1" applyFill="1" applyAlignment="1" applyProtection="1">
      <alignment horizontal="left"/>
      <protection hidden="1"/>
    </xf>
    <xf numFmtId="0" fontId="3" fillId="0" borderId="22" xfId="66" applyFont="1" applyFill="1" applyBorder="1" applyAlignment="1" applyProtection="1">
      <alignment horizontal="left"/>
      <protection hidden="1"/>
    </xf>
    <xf numFmtId="0" fontId="3" fillId="0" borderId="19" xfId="66" applyFont="1" applyFill="1" applyBorder="1" applyAlignment="1" applyProtection="1">
      <alignment horizontal="left"/>
      <protection hidden="1"/>
    </xf>
    <xf numFmtId="0" fontId="126" fillId="35" borderId="197" xfId="67" applyFont="1" applyFill="1" applyBorder="1" applyAlignment="1" applyProtection="1">
      <alignment horizontal="center" vertical="top" wrapText="1"/>
      <protection hidden="1"/>
    </xf>
    <xf numFmtId="0" fontId="126" fillId="35" borderId="198" xfId="67" applyFont="1" applyFill="1" applyBorder="1" applyAlignment="1" applyProtection="1">
      <alignment horizontal="center" vertical="top" wrapText="1"/>
      <protection hidden="1"/>
    </xf>
    <xf numFmtId="0" fontId="126" fillId="35" borderId="0" xfId="67" applyFont="1" applyFill="1" applyBorder="1" applyAlignment="1" applyProtection="1">
      <alignment horizontal="center" vertical="top" wrapText="1"/>
      <protection hidden="1"/>
    </xf>
    <xf numFmtId="0" fontId="126" fillId="35" borderId="220" xfId="67" applyFont="1" applyFill="1" applyBorder="1" applyAlignment="1" applyProtection="1">
      <alignment horizontal="center" vertical="top" wrapText="1"/>
      <protection hidden="1"/>
    </xf>
    <xf numFmtId="0" fontId="240" fillId="0" borderId="21" xfId="67" applyFont="1" applyBorder="1" applyAlignment="1" applyProtection="1">
      <alignment horizontal="center"/>
      <protection hidden="1"/>
    </xf>
    <xf numFmtId="0" fontId="240" fillId="0" borderId="22" xfId="67" applyFont="1" applyBorder="1" applyAlignment="1" applyProtection="1">
      <alignment horizontal="center"/>
      <protection hidden="1"/>
    </xf>
    <xf numFmtId="0" fontId="240" fillId="0" borderId="19" xfId="67" applyFont="1" applyBorder="1" applyAlignment="1" applyProtection="1">
      <alignment horizontal="center"/>
      <protection hidden="1"/>
    </xf>
    <xf numFmtId="0" fontId="3" fillId="0" borderId="0" xfId="66" applyFont="1" applyBorder="1" applyAlignment="1" applyProtection="1">
      <protection hidden="1"/>
    </xf>
    <xf numFmtId="0" fontId="3" fillId="0" borderId="15" xfId="66" applyFont="1" applyBorder="1" applyAlignment="1" applyProtection="1">
      <protection hidden="1"/>
    </xf>
    <xf numFmtId="1" fontId="3" fillId="0" borderId="0" xfId="66" applyNumberFormat="1" applyFont="1" applyBorder="1" applyAlignment="1" applyProtection="1">
      <protection hidden="1"/>
    </xf>
    <xf numFmtId="1" fontId="3" fillId="0" borderId="15" xfId="66" applyNumberFormat="1" applyFont="1" applyBorder="1" applyAlignment="1" applyProtection="1">
      <protection hidden="1"/>
    </xf>
    <xf numFmtId="0" fontId="3" fillId="0" borderId="0" xfId="66" applyFont="1" applyFill="1" applyBorder="1" applyAlignment="1" applyProtection="1">
      <alignment horizontal="left"/>
      <protection hidden="1"/>
    </xf>
    <xf numFmtId="0" fontId="3" fillId="0" borderId="15" xfId="66" applyFont="1" applyFill="1" applyBorder="1" applyAlignment="1" applyProtection="1">
      <alignment horizontal="left"/>
      <protection hidden="1"/>
    </xf>
    <xf numFmtId="0" fontId="11" fillId="0" borderId="14" xfId="66" applyFont="1" applyFill="1" applyBorder="1" applyAlignment="1" applyProtection="1">
      <alignment horizontal="left"/>
      <protection hidden="1"/>
    </xf>
    <xf numFmtId="0" fontId="11" fillId="0" borderId="23" xfId="66" applyFont="1" applyFill="1" applyBorder="1" applyAlignment="1" applyProtection="1">
      <alignment horizontal="left"/>
      <protection hidden="1"/>
    </xf>
    <xf numFmtId="0" fontId="174" fillId="0" borderId="21" xfId="67" applyFont="1" applyBorder="1" applyAlignment="1" applyProtection="1">
      <alignment horizontal="center"/>
      <protection hidden="1"/>
    </xf>
    <xf numFmtId="0" fontId="174" fillId="0" borderId="22" xfId="67" applyFont="1" applyBorder="1" applyAlignment="1" applyProtection="1">
      <alignment horizontal="center"/>
      <protection hidden="1"/>
    </xf>
    <xf numFmtId="0" fontId="174" fillId="0" borderId="19" xfId="67" applyFont="1" applyBorder="1" applyAlignment="1" applyProtection="1">
      <alignment horizontal="center"/>
      <protection hidden="1"/>
    </xf>
    <xf numFmtId="0" fontId="247" fillId="0" borderId="21" xfId="67" applyFont="1" applyBorder="1" applyAlignment="1" applyProtection="1">
      <alignment horizontal="center"/>
      <protection hidden="1"/>
    </xf>
    <xf numFmtId="0" fontId="247" fillId="0" borderId="22" xfId="67" applyFont="1" applyBorder="1" applyAlignment="1" applyProtection="1">
      <alignment horizontal="center"/>
      <protection hidden="1"/>
    </xf>
    <xf numFmtId="0" fontId="247" fillId="0" borderId="19" xfId="67" applyFont="1" applyBorder="1" applyAlignment="1" applyProtection="1">
      <alignment horizontal="center"/>
      <protection hidden="1"/>
    </xf>
    <xf numFmtId="0" fontId="52" fillId="0" borderId="12" xfId="46" applyFont="1" applyBorder="1" applyAlignment="1" applyProtection="1">
      <protection hidden="1"/>
    </xf>
    <xf numFmtId="0" fontId="126" fillId="45" borderId="21" xfId="67" applyFill="1" applyBorder="1" applyAlignment="1" applyProtection="1">
      <protection hidden="1"/>
    </xf>
    <xf numFmtId="0" fontId="126" fillId="45" borderId="19" xfId="67" applyFill="1" applyBorder="1" applyAlignment="1" applyProtection="1">
      <protection hidden="1"/>
    </xf>
    <xf numFmtId="0" fontId="126" fillId="0" borderId="21" xfId="67" applyBorder="1" applyAlignment="1" applyProtection="1">
      <protection hidden="1"/>
    </xf>
    <xf numFmtId="0" fontId="126" fillId="0" borderId="19" xfId="67" applyBorder="1" applyAlignment="1" applyProtection="1">
      <protection hidden="1"/>
    </xf>
    <xf numFmtId="0" fontId="3" fillId="0" borderId="174" xfId="69" applyFont="1" applyBorder="1" applyAlignment="1" applyProtection="1">
      <alignment horizontal="right" wrapText="1"/>
      <protection hidden="1"/>
    </xf>
    <xf numFmtId="0" fontId="3" fillId="0" borderId="230" xfId="69" applyFont="1" applyBorder="1" applyAlignment="1" applyProtection="1">
      <alignment horizontal="right" wrapText="1"/>
      <protection hidden="1"/>
    </xf>
    <xf numFmtId="0" fontId="3" fillId="0" borderId="57" xfId="69" applyFont="1" applyBorder="1" applyAlignment="1" applyProtection="1">
      <alignment horizontal="right" wrapText="1"/>
      <protection hidden="1"/>
    </xf>
    <xf numFmtId="0" fontId="3" fillId="0" borderId="54" xfId="69" applyFont="1" applyBorder="1" applyAlignment="1" applyProtection="1">
      <alignment horizontal="right" wrapText="1"/>
      <protection hidden="1"/>
    </xf>
    <xf numFmtId="0" fontId="3" fillId="0" borderId="181" xfId="69" applyFont="1" applyBorder="1" applyAlignment="1" applyProtection="1">
      <alignment horizontal="right" wrapText="1"/>
      <protection hidden="1"/>
    </xf>
    <xf numFmtId="0" fontId="3" fillId="0" borderId="182" xfId="69" applyFont="1" applyBorder="1" applyAlignment="1" applyProtection="1">
      <alignment horizontal="right" wrapText="1"/>
      <protection hidden="1"/>
    </xf>
    <xf numFmtId="0" fontId="47" fillId="45" borderId="189" xfId="108" applyFont="1" applyFill="1" applyBorder="1" applyAlignment="1" applyProtection="1">
      <alignment horizontal="center" wrapText="1"/>
      <protection hidden="1"/>
    </xf>
    <xf numFmtId="0" fontId="47" fillId="45" borderId="188" xfId="108" applyFont="1" applyFill="1" applyBorder="1" applyAlignment="1" applyProtection="1">
      <alignment horizontal="center" wrapText="1"/>
      <protection hidden="1"/>
    </xf>
    <xf numFmtId="0" fontId="47" fillId="35" borderId="0" xfId="63" applyFont="1" applyFill="1" applyBorder="1" applyAlignment="1" applyProtection="1">
      <alignment horizontal="center" wrapText="1"/>
      <protection hidden="1"/>
    </xf>
    <xf numFmtId="0" fontId="47" fillId="35" borderId="210" xfId="63" applyFont="1" applyFill="1" applyBorder="1" applyAlignment="1" applyProtection="1">
      <alignment horizontal="center" wrapText="1"/>
      <protection hidden="1"/>
    </xf>
    <xf numFmtId="0" fontId="47" fillId="35" borderId="96" xfId="63" applyFont="1" applyFill="1" applyBorder="1" applyAlignment="1" applyProtection="1">
      <alignment horizontal="center" wrapText="1"/>
      <protection hidden="1"/>
    </xf>
    <xf numFmtId="0" fontId="47" fillId="35" borderId="176" xfId="63" applyFont="1" applyFill="1" applyBorder="1" applyAlignment="1" applyProtection="1">
      <alignment horizontal="center" wrapText="1"/>
      <protection hidden="1"/>
    </xf>
    <xf numFmtId="0" fontId="30" fillId="35" borderId="172" xfId="66" applyFont="1" applyFill="1" applyBorder="1" applyAlignment="1" applyProtection="1">
      <alignment horizontal="center"/>
      <protection hidden="1"/>
    </xf>
    <xf numFmtId="0" fontId="246" fillId="35" borderId="172" xfId="66" applyFont="1" applyFill="1" applyBorder="1" applyAlignment="1" applyProtection="1">
      <alignment horizontal="center"/>
      <protection hidden="1"/>
    </xf>
    <xf numFmtId="0" fontId="251" fillId="0" borderId="172" xfId="0" applyFont="1" applyBorder="1" applyProtection="1">
      <protection hidden="1"/>
    </xf>
    <xf numFmtId="0" fontId="61" fillId="42" borderId="20" xfId="63" applyFont="1" applyFill="1" applyBorder="1" applyAlignment="1" applyProtection="1">
      <alignment horizontal="center"/>
      <protection hidden="1"/>
    </xf>
    <xf numFmtId="0" fontId="61" fillId="42" borderId="14" xfId="63" applyFont="1" applyFill="1" applyBorder="1" applyAlignment="1" applyProtection="1">
      <alignment horizontal="center"/>
      <protection hidden="1"/>
    </xf>
    <xf numFmtId="0" fontId="61" fillId="42" borderId="23" xfId="63" applyFont="1" applyFill="1" applyBorder="1" applyAlignment="1" applyProtection="1">
      <alignment horizontal="center"/>
      <protection hidden="1"/>
    </xf>
    <xf numFmtId="0" fontId="9" fillId="35" borderId="175" xfId="66" applyFont="1" applyFill="1" applyBorder="1" applyAlignment="1" applyProtection="1">
      <alignment horizontal="center"/>
      <protection hidden="1"/>
    </xf>
    <xf numFmtId="0" fontId="9" fillId="35" borderId="96" xfId="66" applyFont="1" applyFill="1" applyBorder="1" applyAlignment="1" applyProtection="1">
      <alignment horizontal="center"/>
      <protection hidden="1"/>
    </xf>
    <xf numFmtId="0" fontId="9" fillId="35" borderId="176" xfId="66" applyFont="1" applyFill="1" applyBorder="1" applyAlignment="1" applyProtection="1">
      <alignment horizontal="center"/>
      <protection hidden="1"/>
    </xf>
    <xf numFmtId="0" fontId="263" fillId="35" borderId="10" xfId="84" applyFont="1" applyFill="1" applyBorder="1" applyAlignment="1" applyProtection="1">
      <protection hidden="1"/>
    </xf>
    <xf numFmtId="0" fontId="263" fillId="35" borderId="18" xfId="84" applyFont="1" applyFill="1" applyBorder="1" applyAlignment="1" applyProtection="1">
      <protection hidden="1"/>
    </xf>
    <xf numFmtId="0" fontId="1" fillId="35" borderId="18" xfId="66" applyFill="1" applyBorder="1" applyAlignment="1" applyProtection="1">
      <protection hidden="1"/>
    </xf>
    <xf numFmtId="0" fontId="0" fillId="0" borderId="24" xfId="0" applyBorder="1" applyAlignment="1" applyProtection="1">
      <protection hidden="1"/>
    </xf>
    <xf numFmtId="0" fontId="0" fillId="0" borderId="0" xfId="0" applyBorder="1" applyAlignment="1" applyProtection="1">
      <protection hidden="1"/>
    </xf>
    <xf numFmtId="0" fontId="0" fillId="0" borderId="15" xfId="0" applyBorder="1" applyAlignment="1" applyProtection="1">
      <protection hidden="1"/>
    </xf>
    <xf numFmtId="0" fontId="0" fillId="0" borderId="14" xfId="0" applyBorder="1" applyAlignment="1" applyProtection="1">
      <protection hidden="1"/>
    </xf>
    <xf numFmtId="0" fontId="0" fillId="0" borderId="23" xfId="0" applyBorder="1" applyAlignment="1" applyProtection="1">
      <protection hidden="1"/>
    </xf>
    <xf numFmtId="0" fontId="38" fillId="35" borderId="10" xfId="66"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24" xfId="0" applyBorder="1" applyAlignment="1" applyProtection="1">
      <alignment horizontal="center"/>
      <protection hidden="1"/>
    </xf>
    <xf numFmtId="0" fontId="268" fillId="35" borderId="20" xfId="66" applyFont="1" applyFill="1" applyBorder="1" applyAlignment="1" applyProtection="1">
      <alignment horizontal="center"/>
      <protection hidden="1"/>
    </xf>
    <xf numFmtId="0" fontId="270" fillId="0" borderId="14" xfId="0" applyFont="1" applyBorder="1" applyAlignment="1" applyProtection="1">
      <protection hidden="1"/>
    </xf>
    <xf numFmtId="0" fontId="270" fillId="0" borderId="23" xfId="0" applyFont="1" applyBorder="1" applyAlignment="1" applyProtection="1">
      <protection hidden="1"/>
    </xf>
    <xf numFmtId="0" fontId="53" fillId="35" borderId="20" xfId="66" applyFont="1" applyFill="1" applyBorder="1" applyAlignment="1" applyProtection="1">
      <alignment horizontal="center"/>
      <protection hidden="1"/>
    </xf>
    <xf numFmtId="0" fontId="247" fillId="35" borderId="20" xfId="84" applyFont="1" applyFill="1" applyBorder="1" applyAlignment="1" applyProtection="1">
      <alignment horizontal="center"/>
      <protection hidden="1"/>
    </xf>
    <xf numFmtId="0" fontId="251" fillId="0" borderId="14" xfId="0" applyFont="1" applyBorder="1" applyAlignment="1" applyProtection="1">
      <protection hidden="1"/>
    </xf>
    <xf numFmtId="0" fontId="251" fillId="0" borderId="23" xfId="0" applyFont="1" applyBorder="1" applyAlignment="1" applyProtection="1">
      <protection hidden="1"/>
    </xf>
    <xf numFmtId="0" fontId="3" fillId="35" borderId="13" xfId="66" applyFont="1" applyFill="1" applyBorder="1" applyAlignment="1" applyProtection="1">
      <protection hidden="1"/>
    </xf>
    <xf numFmtId="0" fontId="3" fillId="35" borderId="0" xfId="84" applyFill="1" applyBorder="1" applyAlignment="1" applyProtection="1">
      <alignment horizontal="center"/>
      <protection hidden="1"/>
    </xf>
    <xf numFmtId="0" fontId="131" fillId="35" borderId="0" xfId="66" applyFont="1" applyFill="1" applyBorder="1" applyAlignment="1" applyProtection="1">
      <alignment horizontal="left"/>
      <protection hidden="1"/>
    </xf>
    <xf numFmtId="0" fontId="5" fillId="35" borderId="167" xfId="69" applyFont="1" applyFill="1" applyBorder="1" applyAlignment="1" applyProtection="1">
      <alignment horizontal="left"/>
      <protection hidden="1"/>
    </xf>
    <xf numFmtId="0" fontId="5" fillId="35" borderId="0" xfId="69" applyFont="1" applyFill="1" applyBorder="1" applyAlignment="1" applyProtection="1">
      <alignment horizontal="left"/>
      <protection hidden="1"/>
    </xf>
    <xf numFmtId="164" fontId="5" fillId="35" borderId="167" xfId="69" applyNumberFormat="1" applyFont="1" applyFill="1" applyBorder="1" applyAlignment="1" applyProtection="1">
      <alignment horizontal="left"/>
      <protection hidden="1"/>
    </xf>
    <xf numFmtId="164" fontId="5" fillId="35" borderId="0" xfId="69" applyNumberFormat="1" applyFont="1" applyFill="1" applyBorder="1" applyAlignment="1" applyProtection="1">
      <alignment horizontal="left"/>
      <protection hidden="1"/>
    </xf>
    <xf numFmtId="0" fontId="106" fillId="35" borderId="0" xfId="91" applyFont="1" applyFill="1" applyBorder="1" applyAlignment="1" applyProtection="1">
      <protection hidden="1"/>
    </xf>
    <xf numFmtId="0" fontId="106" fillId="35" borderId="15" xfId="91" applyFont="1" applyFill="1" applyBorder="1" applyAlignment="1" applyProtection="1">
      <protection hidden="1"/>
    </xf>
    <xf numFmtId="164" fontId="5" fillId="35" borderId="0" xfId="69" applyNumberFormat="1" applyFont="1" applyFill="1" applyBorder="1" applyAlignment="1" applyProtection="1">
      <protection hidden="1"/>
    </xf>
    <xf numFmtId="2" fontId="5" fillId="35" borderId="162" xfId="69" applyNumberFormat="1" applyFont="1" applyFill="1" applyBorder="1" applyAlignment="1" applyProtection="1">
      <alignment horizontal="center"/>
      <protection hidden="1"/>
    </xf>
    <xf numFmtId="2" fontId="5" fillId="35" borderId="163" xfId="69" applyNumberFormat="1" applyFont="1" applyFill="1" applyBorder="1" applyAlignment="1" applyProtection="1">
      <alignment horizontal="center"/>
      <protection hidden="1"/>
    </xf>
    <xf numFmtId="2" fontId="5" fillId="35" borderId="164" xfId="69" applyNumberFormat="1" applyFont="1" applyFill="1" applyBorder="1" applyAlignment="1" applyProtection="1">
      <alignment horizontal="center"/>
      <protection hidden="1"/>
    </xf>
    <xf numFmtId="0" fontId="5" fillId="35" borderId="0" xfId="66" applyFont="1" applyFill="1" applyBorder="1" applyAlignment="1" applyProtection="1">
      <protection hidden="1"/>
    </xf>
    <xf numFmtId="0" fontId="0" fillId="0" borderId="0" xfId="0" applyAlignment="1" applyProtection="1">
      <protection hidden="1"/>
    </xf>
    <xf numFmtId="0" fontId="3" fillId="35" borderId="0" xfId="84" applyFont="1" applyFill="1" applyAlignment="1" applyProtection="1">
      <protection hidden="1"/>
    </xf>
    <xf numFmtId="2" fontId="3" fillId="35" borderId="96" xfId="66" applyNumberFormat="1" applyFont="1" applyFill="1" applyBorder="1" applyAlignment="1" applyProtection="1">
      <alignment horizontal="left"/>
      <protection hidden="1"/>
    </xf>
    <xf numFmtId="2" fontId="3" fillId="35" borderId="176" xfId="66" applyNumberFormat="1" applyFont="1" applyFill="1" applyBorder="1" applyAlignment="1" applyProtection="1">
      <alignment horizontal="left"/>
      <protection hidden="1"/>
    </xf>
    <xf numFmtId="0" fontId="5" fillId="35" borderId="175" xfId="84" applyFont="1" applyFill="1" applyBorder="1" applyAlignment="1" applyProtection="1">
      <alignment horizontal="left"/>
      <protection hidden="1"/>
    </xf>
    <xf numFmtId="0" fontId="5" fillId="35" borderId="96" xfId="84" applyFont="1" applyFill="1" applyBorder="1" applyAlignment="1" applyProtection="1">
      <alignment horizontal="left"/>
      <protection hidden="1"/>
    </xf>
    <xf numFmtId="0" fontId="5" fillId="35" borderId="0" xfId="66" applyFont="1" applyFill="1" applyAlignment="1" applyProtection="1">
      <protection hidden="1"/>
    </xf>
    <xf numFmtId="0" fontId="0" fillId="35" borderId="0" xfId="0" applyFill="1" applyAlignment="1" applyProtection="1">
      <protection hidden="1"/>
    </xf>
    <xf numFmtId="0" fontId="34" fillId="35" borderId="0" xfId="84" applyFont="1" applyFill="1" applyBorder="1" applyAlignment="1" applyProtection="1">
      <alignment horizontal="left"/>
      <protection hidden="1"/>
    </xf>
    <xf numFmtId="0" fontId="52" fillId="0" borderId="0" xfId="46" applyFont="1" applyAlignment="1" applyProtection="1">
      <alignment horizontal="left"/>
      <protection hidden="1"/>
    </xf>
    <xf numFmtId="0" fontId="13" fillId="51" borderId="231" xfId="84" applyFont="1" applyFill="1" applyBorder="1" applyAlignment="1" applyProtection="1">
      <alignment horizontal="left"/>
      <protection hidden="1"/>
    </xf>
    <xf numFmtId="0" fontId="13" fillId="51" borderId="229" xfId="84" applyFont="1" applyFill="1" applyBorder="1" applyAlignment="1" applyProtection="1">
      <alignment horizontal="left"/>
      <protection hidden="1"/>
    </xf>
    <xf numFmtId="164" fontId="13" fillId="35" borderId="231" xfId="84" applyNumberFormat="1" applyFont="1" applyFill="1" applyBorder="1" applyAlignment="1" applyProtection="1">
      <alignment horizontal="left"/>
      <protection hidden="1"/>
    </xf>
    <xf numFmtId="164" fontId="13" fillId="35" borderId="229" xfId="84" applyNumberFormat="1" applyFont="1" applyFill="1" applyBorder="1" applyAlignment="1" applyProtection="1">
      <alignment horizontal="left"/>
      <protection hidden="1"/>
    </xf>
    <xf numFmtId="0" fontId="267" fillId="51" borderId="170" xfId="0" applyFont="1" applyFill="1" applyBorder="1" applyProtection="1">
      <protection hidden="1"/>
    </xf>
    <xf numFmtId="0" fontId="5" fillId="35" borderId="167" xfId="0" applyFont="1" applyFill="1" applyBorder="1" applyAlignment="1" applyProtection="1">
      <protection hidden="1"/>
    </xf>
    <xf numFmtId="0" fontId="5" fillId="35" borderId="0" xfId="0" applyFont="1" applyFill="1" applyBorder="1" applyAlignment="1" applyProtection="1">
      <protection hidden="1"/>
    </xf>
    <xf numFmtId="0" fontId="271" fillId="51" borderId="0" xfId="0" applyFont="1" applyFill="1" applyBorder="1" applyProtection="1">
      <protection hidden="1"/>
    </xf>
    <xf numFmtId="0" fontId="52" fillId="0" borderId="276" xfId="46" applyFont="1" applyBorder="1" applyAlignment="1" applyProtection="1">
      <alignment horizontal="center" vertical="top" wrapText="1"/>
      <protection hidden="1"/>
    </xf>
    <xf numFmtId="0" fontId="52" fillId="0" borderId="224" xfId="46" applyFont="1" applyBorder="1" applyAlignment="1" applyProtection="1">
      <alignment horizontal="center" vertical="top" wrapText="1"/>
      <protection hidden="1"/>
    </xf>
    <xf numFmtId="1" fontId="20" fillId="35" borderId="169" xfId="69" applyNumberFormat="1" applyFont="1" applyFill="1" applyBorder="1" applyAlignment="1" applyProtection="1">
      <alignment horizontal="left"/>
      <protection hidden="1"/>
    </xf>
    <xf numFmtId="1" fontId="20" fillId="35" borderId="170" xfId="69" applyNumberFormat="1" applyFont="1" applyFill="1" applyBorder="1" applyAlignment="1" applyProtection="1">
      <alignment horizontal="left"/>
      <protection hidden="1"/>
    </xf>
    <xf numFmtId="0" fontId="5" fillId="35" borderId="183" xfId="0" applyFont="1" applyFill="1" applyBorder="1" applyAlignment="1" applyProtection="1">
      <protection hidden="1"/>
    </xf>
    <xf numFmtId="0" fontId="5" fillId="35" borderId="184" xfId="0" applyFont="1" applyFill="1" applyBorder="1" applyAlignment="1" applyProtection="1">
      <protection hidden="1"/>
    </xf>
    <xf numFmtId="0" fontId="65" fillId="35" borderId="0" xfId="69" applyFont="1" applyFill="1" applyBorder="1" applyAlignment="1" applyProtection="1">
      <alignment horizontal="left"/>
      <protection hidden="1"/>
    </xf>
    <xf numFmtId="0" fontId="112" fillId="35" borderId="0" xfId="69" applyFont="1" applyFill="1" applyBorder="1" applyAlignment="1" applyProtection="1">
      <alignment horizontal="left"/>
      <protection hidden="1"/>
    </xf>
    <xf numFmtId="0" fontId="112" fillId="35" borderId="15" xfId="69" applyFont="1" applyFill="1" applyBorder="1" applyAlignment="1" applyProtection="1">
      <alignment horizontal="left"/>
      <protection hidden="1"/>
    </xf>
    <xf numFmtId="0" fontId="245" fillId="51" borderId="184" xfId="0" applyFont="1" applyFill="1" applyBorder="1" applyProtection="1">
      <protection hidden="1"/>
    </xf>
    <xf numFmtId="164" fontId="5" fillId="35" borderId="167" xfId="84" applyNumberFormat="1" applyFont="1" applyFill="1" applyBorder="1" applyAlignment="1" applyProtection="1">
      <alignment horizontal="left"/>
      <protection hidden="1"/>
    </xf>
    <xf numFmtId="164" fontId="5" fillId="35" borderId="0" xfId="84" applyNumberFormat="1" applyFont="1" applyFill="1" applyBorder="1" applyAlignment="1" applyProtection="1">
      <alignment horizontal="left"/>
      <protection hidden="1"/>
    </xf>
    <xf numFmtId="0" fontId="5" fillId="35" borderId="167" xfId="0" applyFont="1" applyFill="1" applyBorder="1" applyAlignment="1" applyProtection="1">
      <alignment horizontal="left"/>
      <protection hidden="1"/>
    </xf>
    <xf numFmtId="0" fontId="5" fillId="35" borderId="0" xfId="0" applyFont="1" applyFill="1" applyBorder="1" applyAlignment="1" applyProtection="1">
      <alignment horizontal="left"/>
      <protection hidden="1"/>
    </xf>
    <xf numFmtId="2" fontId="5" fillId="35" borderId="167" xfId="84" applyNumberFormat="1" applyFont="1" applyFill="1" applyBorder="1" applyAlignment="1" applyProtection="1">
      <alignment horizontal="left"/>
      <protection hidden="1"/>
    </xf>
    <xf numFmtId="2" fontId="5" fillId="35" borderId="0" xfId="84" applyNumberFormat="1" applyFont="1" applyFill="1" applyBorder="1" applyAlignment="1" applyProtection="1">
      <alignment horizontal="left"/>
      <protection hidden="1"/>
    </xf>
    <xf numFmtId="1" fontId="5" fillId="35" borderId="167" xfId="69" applyNumberFormat="1" applyFont="1" applyFill="1" applyBorder="1" applyAlignment="1" applyProtection="1">
      <alignment horizontal="left"/>
      <protection hidden="1"/>
    </xf>
    <xf numFmtId="1" fontId="5" fillId="35" borderId="0" xfId="69" applyNumberFormat="1" applyFont="1" applyFill="1" applyBorder="1" applyAlignment="1" applyProtection="1">
      <alignment horizontal="left"/>
      <protection hidden="1"/>
    </xf>
    <xf numFmtId="0" fontId="3" fillId="35" borderId="167" xfId="84" applyFill="1" applyBorder="1" applyAlignment="1" applyProtection="1">
      <protection hidden="1"/>
    </xf>
    <xf numFmtId="0" fontId="3" fillId="35" borderId="0" xfId="84" applyFill="1" applyBorder="1" applyAlignment="1" applyProtection="1">
      <protection hidden="1"/>
    </xf>
    <xf numFmtId="0" fontId="111" fillId="35" borderId="0" xfId="69" applyFont="1" applyFill="1" applyBorder="1" applyAlignment="1" applyProtection="1">
      <alignment horizontal="center"/>
      <protection hidden="1"/>
    </xf>
    <xf numFmtId="49" fontId="3" fillId="78" borderId="0" xfId="66" applyNumberFormat="1" applyFont="1" applyFill="1" applyAlignment="1" applyProtection="1">
      <alignment horizontal="center" vertical="center"/>
      <protection hidden="1"/>
    </xf>
    <xf numFmtId="0" fontId="20" fillId="35" borderId="165" xfId="66" applyFont="1" applyFill="1" applyBorder="1" applyAlignment="1" applyProtection="1">
      <alignment horizontal="right"/>
      <protection hidden="1"/>
    </xf>
    <xf numFmtId="0" fontId="87" fillId="37" borderId="165" xfId="66" applyFont="1" applyFill="1" applyBorder="1" applyAlignment="1" applyProtection="1">
      <alignment horizontal="left"/>
      <protection locked="0"/>
    </xf>
    <xf numFmtId="0" fontId="20" fillId="35" borderId="162" xfId="69" applyFont="1" applyFill="1" applyBorder="1" applyAlignment="1" applyProtection="1">
      <alignment horizontal="left"/>
      <protection hidden="1"/>
    </xf>
    <xf numFmtId="0" fontId="20" fillId="35" borderId="163" xfId="69" applyFont="1" applyFill="1" applyBorder="1" applyAlignment="1" applyProtection="1">
      <alignment horizontal="left"/>
      <protection hidden="1"/>
    </xf>
    <xf numFmtId="0" fontId="20" fillId="35" borderId="164" xfId="69" applyFont="1" applyFill="1" applyBorder="1" applyAlignment="1" applyProtection="1">
      <alignment horizontal="left"/>
      <protection hidden="1"/>
    </xf>
    <xf numFmtId="0" fontId="5" fillId="35" borderId="173" xfId="69" applyFont="1" applyFill="1" applyBorder="1" applyAlignment="1" applyProtection="1">
      <alignment horizontal="left"/>
      <protection hidden="1"/>
    </xf>
    <xf numFmtId="0" fontId="5" fillId="35" borderId="138" xfId="69" applyFont="1" applyFill="1" applyBorder="1" applyAlignment="1" applyProtection="1">
      <alignment horizontal="left"/>
      <protection hidden="1"/>
    </xf>
    <xf numFmtId="164" fontId="5" fillId="35" borderId="173" xfId="69" applyNumberFormat="1" applyFont="1" applyFill="1" applyBorder="1" applyAlignment="1" applyProtection="1">
      <alignment horizontal="left"/>
      <protection hidden="1"/>
    </xf>
    <xf numFmtId="164" fontId="5" fillId="35" borderId="138" xfId="69" applyNumberFormat="1" applyFont="1" applyFill="1" applyBorder="1" applyAlignment="1" applyProtection="1">
      <alignment horizontal="left"/>
      <protection hidden="1"/>
    </xf>
    <xf numFmtId="0" fontId="62" fillId="35" borderId="173" xfId="69" applyFont="1" applyFill="1" applyBorder="1" applyAlignment="1" applyProtection="1">
      <protection hidden="1"/>
    </xf>
    <xf numFmtId="0" fontId="62" fillId="35" borderId="138" xfId="69" applyFont="1" applyFill="1" applyBorder="1" applyAlignment="1" applyProtection="1">
      <protection hidden="1"/>
    </xf>
    <xf numFmtId="0" fontId="62" fillId="35" borderId="168" xfId="69" applyFont="1" applyFill="1" applyBorder="1" applyAlignment="1" applyProtection="1">
      <protection hidden="1"/>
    </xf>
    <xf numFmtId="0" fontId="256" fillId="35" borderId="0" xfId="0" applyFont="1" applyFill="1" applyAlignment="1" applyProtection="1">
      <alignment horizontal="left"/>
      <protection hidden="1"/>
    </xf>
    <xf numFmtId="0" fontId="86" fillId="35" borderId="0" xfId="66" applyFont="1" applyFill="1" applyAlignment="1" applyProtection="1">
      <alignment horizontal="center"/>
      <protection hidden="1"/>
    </xf>
    <xf numFmtId="0" fontId="256" fillId="35" borderId="0" xfId="75" applyFont="1" applyFill="1" applyAlignment="1" applyProtection="1">
      <alignment horizontal="right"/>
      <protection hidden="1"/>
    </xf>
    <xf numFmtId="0" fontId="25" fillId="35" borderId="0" xfId="46" applyFont="1" applyFill="1" applyAlignment="1" applyProtection="1">
      <alignment horizontal="right"/>
      <protection hidden="1"/>
    </xf>
    <xf numFmtId="0" fontId="3" fillId="51" borderId="172" xfId="84" applyFont="1" applyFill="1" applyBorder="1" applyAlignment="1" applyProtection="1">
      <alignment horizontal="center" vertical="top" wrapText="1"/>
      <protection hidden="1"/>
    </xf>
    <xf numFmtId="0" fontId="3" fillId="51" borderId="179" xfId="84" applyFont="1" applyFill="1" applyBorder="1" applyAlignment="1" applyProtection="1">
      <alignment horizontal="center" vertical="top" wrapText="1"/>
      <protection hidden="1"/>
    </xf>
    <xf numFmtId="0" fontId="47" fillId="0" borderId="138" xfId="0" applyFont="1" applyBorder="1" applyAlignment="1" applyProtection="1">
      <alignment horizontal="center"/>
      <protection hidden="1"/>
    </xf>
    <xf numFmtId="0" fontId="3" fillId="0" borderId="0" xfId="69" applyFont="1" applyAlignment="1" applyProtection="1">
      <alignment horizontal="left"/>
      <protection hidden="1"/>
    </xf>
    <xf numFmtId="0" fontId="11" fillId="0" borderId="0" xfId="69" applyFont="1" applyFill="1" applyBorder="1" applyAlignment="1" applyProtection="1">
      <alignment horizontal="left"/>
      <protection hidden="1"/>
    </xf>
    <xf numFmtId="0" fontId="11" fillId="0" borderId="0" xfId="66" applyFont="1" applyFill="1" applyBorder="1" applyAlignment="1" applyProtection="1">
      <alignment horizontal="left"/>
      <protection hidden="1"/>
    </xf>
    <xf numFmtId="0" fontId="3" fillId="0" borderId="0" xfId="69" applyFont="1" applyAlignment="1" applyProtection="1">
      <alignment horizontal="left" vertical="top" wrapText="1"/>
      <protection hidden="1"/>
    </xf>
    <xf numFmtId="0" fontId="60" fillId="0" borderId="0" xfId="108" applyFont="1" applyFill="1" applyAlignment="1" applyProtection="1">
      <alignment horizontal="right"/>
      <protection hidden="1"/>
    </xf>
    <xf numFmtId="0" fontId="47" fillId="0" borderId="0" xfId="108" applyFont="1" applyFill="1" applyBorder="1" applyAlignment="1" applyProtection="1">
      <alignment horizontal="right"/>
      <protection hidden="1"/>
    </xf>
    <xf numFmtId="0" fontId="47" fillId="0" borderId="15" xfId="108" applyFont="1" applyFill="1" applyBorder="1" applyAlignment="1" applyProtection="1">
      <alignment horizontal="right"/>
      <protection hidden="1"/>
    </xf>
    <xf numFmtId="0" fontId="47" fillId="0" borderId="162" xfId="108" applyFont="1" applyFill="1" applyBorder="1" applyAlignment="1" applyProtection="1">
      <alignment horizontal="center"/>
      <protection hidden="1"/>
    </xf>
    <xf numFmtId="0" fontId="47" fillId="0" borderId="163" xfId="108" applyFont="1" applyFill="1" applyBorder="1" applyAlignment="1" applyProtection="1">
      <alignment horizontal="center"/>
      <protection hidden="1"/>
    </xf>
    <xf numFmtId="0" fontId="47" fillId="0" borderId="164" xfId="108" applyFont="1" applyFill="1" applyBorder="1" applyAlignment="1" applyProtection="1">
      <alignment horizontal="center"/>
      <protection hidden="1"/>
    </xf>
    <xf numFmtId="0" fontId="18" fillId="35" borderId="0" xfId="78" applyFont="1" applyFill="1" applyBorder="1" applyAlignment="1" applyProtection="1">
      <alignment horizontal="left"/>
      <protection hidden="1"/>
    </xf>
    <xf numFmtId="0" fontId="1" fillId="35" borderId="0" xfId="69" applyFill="1" applyProtection="1">
      <protection hidden="1"/>
    </xf>
    <xf numFmtId="0" fontId="6" fillId="35" borderId="0" xfId="84" applyFont="1" applyFill="1" applyBorder="1" applyAlignment="1" applyProtection="1">
      <alignment horizontal="right"/>
      <protection hidden="1"/>
    </xf>
    <xf numFmtId="0" fontId="263" fillId="51" borderId="0" xfId="84" applyFont="1" applyFill="1" applyAlignment="1" applyProtection="1">
      <protection hidden="1"/>
    </xf>
    <xf numFmtId="0" fontId="51" fillId="51" borderId="0" xfId="0" applyFont="1" applyFill="1" applyAlignment="1" applyProtection="1">
      <protection hidden="1"/>
    </xf>
    <xf numFmtId="0" fontId="47" fillId="35" borderId="0" xfId="69" applyFont="1" applyFill="1" applyBorder="1" applyAlignment="1" applyProtection="1">
      <alignment horizontal="left"/>
      <protection locked="0"/>
    </xf>
    <xf numFmtId="49" fontId="3" fillId="35" borderId="0" xfId="69" applyNumberFormat="1" applyFont="1" applyFill="1" applyBorder="1" applyAlignment="1" applyProtection="1">
      <protection locked="0"/>
    </xf>
    <xf numFmtId="49" fontId="3" fillId="35" borderId="0" xfId="0" applyNumberFormat="1" applyFont="1" applyFill="1" applyAlignment="1" applyProtection="1">
      <alignment horizontal="left"/>
      <protection locked="0"/>
    </xf>
    <xf numFmtId="0" fontId="9" fillId="13" borderId="196" xfId="69" applyFont="1" applyFill="1" applyBorder="1" applyAlignment="1" applyProtection="1">
      <alignment horizontal="center" vertical="center" textRotation="90"/>
      <protection hidden="1"/>
    </xf>
    <xf numFmtId="0" fontId="9" fillId="13" borderId="167" xfId="69" applyFont="1" applyFill="1" applyBorder="1" applyAlignment="1" applyProtection="1">
      <alignment horizontal="center" vertical="center" textRotation="90"/>
      <protection hidden="1"/>
    </xf>
    <xf numFmtId="0" fontId="9" fillId="7" borderId="167" xfId="69" applyFont="1" applyFill="1" applyBorder="1" applyAlignment="1" applyProtection="1">
      <alignment horizontal="center" vertical="center" textRotation="90"/>
      <protection hidden="1"/>
    </xf>
    <xf numFmtId="0" fontId="9" fillId="7" borderId="175" xfId="69" applyFont="1" applyFill="1" applyBorder="1" applyAlignment="1" applyProtection="1">
      <alignment horizontal="center" vertical="center" textRotation="90"/>
      <protection hidden="1"/>
    </xf>
    <xf numFmtId="0" fontId="1" fillId="0" borderId="0" xfId="69" applyFont="1" applyFill="1" applyAlignment="1" applyProtection="1">
      <alignment horizontal="left"/>
      <protection hidden="1"/>
    </xf>
    <xf numFmtId="0" fontId="14" fillId="0" borderId="0" xfId="69" applyFont="1" applyFill="1" applyBorder="1" applyAlignment="1" applyProtection="1">
      <alignment horizontal="center"/>
      <protection hidden="1"/>
    </xf>
    <xf numFmtId="0" fontId="10" fillId="0" borderId="0" xfId="69" applyFont="1" applyFill="1" applyBorder="1" applyAlignment="1" applyProtection="1">
      <alignment horizontal="center"/>
      <protection hidden="1"/>
    </xf>
    <xf numFmtId="0" fontId="10" fillId="0" borderId="167" xfId="69" applyFont="1" applyFill="1" applyBorder="1" applyAlignment="1" applyProtection="1">
      <alignment horizontal="center" wrapText="1"/>
      <protection hidden="1"/>
    </xf>
    <xf numFmtId="1" fontId="3" fillId="0" borderId="0" xfId="69" applyNumberFormat="1" applyFont="1" applyAlignment="1" applyProtection="1">
      <alignment horizontal="left" vertical="top" wrapText="1"/>
      <protection hidden="1"/>
    </xf>
    <xf numFmtId="0" fontId="1" fillId="0" borderId="0" xfId="69" applyAlignment="1" applyProtection="1">
      <alignment horizontal="center"/>
      <protection hidden="1"/>
    </xf>
    <xf numFmtId="0" fontId="6" fillId="35" borderId="0" xfId="84" applyFont="1" applyFill="1" applyBorder="1" applyAlignment="1" applyProtection="1">
      <alignment horizontal="left" wrapText="1"/>
      <protection hidden="1"/>
    </xf>
    <xf numFmtId="0" fontId="6" fillId="35" borderId="0" xfId="82" applyFont="1" applyFill="1" applyBorder="1" applyAlignment="1" applyProtection="1">
      <alignment horizontal="right"/>
      <protection hidden="1"/>
    </xf>
    <xf numFmtId="1" fontId="47" fillId="35" borderId="212" xfId="108" applyNumberFormat="1" applyFont="1" applyFill="1" applyBorder="1" applyAlignment="1" applyProtection="1">
      <alignment horizontal="center"/>
      <protection hidden="1"/>
    </xf>
    <xf numFmtId="1" fontId="47" fillId="35" borderId="163" xfId="108" applyNumberFormat="1" applyFont="1" applyFill="1" applyBorder="1" applyAlignment="1" applyProtection="1">
      <alignment horizontal="center"/>
      <protection hidden="1"/>
    </xf>
    <xf numFmtId="1" fontId="47" fillId="35" borderId="164" xfId="108" applyNumberFormat="1" applyFont="1" applyFill="1" applyBorder="1" applyAlignment="1" applyProtection="1">
      <alignment horizontal="center"/>
      <protection hidden="1"/>
    </xf>
    <xf numFmtId="0" fontId="42" fillId="35" borderId="0" xfId="58" applyFont="1" applyFill="1" applyBorder="1" applyAlignment="1" applyProtection="1">
      <alignment horizontal="left"/>
      <protection hidden="1"/>
    </xf>
    <xf numFmtId="0" fontId="42" fillId="35" borderId="199" xfId="58" applyFont="1" applyFill="1" applyBorder="1" applyAlignment="1" applyProtection="1">
      <alignment horizontal="left"/>
      <protection hidden="1"/>
    </xf>
    <xf numFmtId="0" fontId="42" fillId="35" borderId="0" xfId="58" applyFont="1" applyFill="1" applyAlignment="1" applyProtection="1">
      <alignment horizontal="left"/>
      <protection hidden="1"/>
    </xf>
    <xf numFmtId="0" fontId="11" fillId="0" borderId="167" xfId="69" applyFont="1" applyFill="1" applyBorder="1" applyAlignment="1" applyProtection="1">
      <alignment horizontal="left"/>
      <protection hidden="1"/>
    </xf>
    <xf numFmtId="0" fontId="11" fillId="0" borderId="15" xfId="69" applyFont="1" applyFill="1" applyBorder="1" applyAlignment="1" applyProtection="1">
      <alignment horizontal="left"/>
      <protection hidden="1"/>
    </xf>
    <xf numFmtId="0" fontId="3" fillId="0" borderId="167" xfId="69" applyFont="1" applyFill="1" applyBorder="1" applyAlignment="1" applyProtection="1">
      <alignment horizontal="left"/>
      <protection hidden="1"/>
    </xf>
    <xf numFmtId="0" fontId="3" fillId="0" borderId="15" xfId="69" applyFont="1" applyFill="1" applyBorder="1" applyAlignment="1" applyProtection="1">
      <alignment horizontal="left"/>
      <protection hidden="1"/>
    </xf>
    <xf numFmtId="0" fontId="3" fillId="0" borderId="162" xfId="69" applyFont="1" applyBorder="1" applyAlignment="1" applyProtection="1">
      <alignment horizontal="left"/>
      <protection hidden="1"/>
    </xf>
    <xf numFmtId="0" fontId="3" fillId="0" borderId="163" xfId="69" applyFont="1" applyBorder="1" applyAlignment="1" applyProtection="1">
      <alignment horizontal="left"/>
      <protection hidden="1"/>
    </xf>
    <xf numFmtId="0" fontId="3" fillId="0" borderId="164" xfId="69" applyFont="1" applyBorder="1" applyAlignment="1" applyProtection="1">
      <alignment horizontal="left"/>
      <protection hidden="1"/>
    </xf>
    <xf numFmtId="1" fontId="47" fillId="35" borderId="212" xfId="108" applyNumberFormat="1" applyFont="1" applyFill="1" applyBorder="1" applyAlignment="1" applyProtection="1">
      <alignment horizontal="center" wrapText="1"/>
      <protection hidden="1"/>
    </xf>
    <xf numFmtId="1" fontId="47" fillId="35" borderId="163" xfId="108" applyNumberFormat="1" applyFont="1" applyFill="1" applyBorder="1" applyAlignment="1" applyProtection="1">
      <alignment horizontal="center" wrapText="1"/>
      <protection hidden="1"/>
    </xf>
    <xf numFmtId="1" fontId="47" fillId="35" borderId="164" xfId="108" applyNumberFormat="1" applyFont="1" applyFill="1" applyBorder="1" applyAlignment="1" applyProtection="1">
      <alignment horizontal="center" wrapText="1"/>
      <protection hidden="1"/>
    </xf>
    <xf numFmtId="2" fontId="245" fillId="42" borderId="256" xfId="67" applyNumberFormat="1" applyFont="1" applyFill="1" applyBorder="1" applyAlignment="1" applyProtection="1">
      <alignment horizontal="center" vertical="top" wrapText="1"/>
      <protection hidden="1"/>
    </xf>
    <xf numFmtId="2" fontId="245" fillId="42" borderId="268" xfId="67" applyNumberFormat="1" applyFont="1" applyFill="1" applyBorder="1" applyAlignment="1" applyProtection="1">
      <alignment horizontal="center" vertical="top" wrapText="1"/>
      <protection hidden="1"/>
    </xf>
    <xf numFmtId="2" fontId="245" fillId="42" borderId="167" xfId="67" applyNumberFormat="1" applyFont="1" applyFill="1" applyBorder="1" applyAlignment="1" applyProtection="1">
      <alignment horizontal="center" vertical="top" wrapText="1"/>
      <protection hidden="1"/>
    </xf>
    <xf numFmtId="2" fontId="245" fillId="42" borderId="0" xfId="67" applyNumberFormat="1" applyFont="1" applyFill="1" applyBorder="1" applyAlignment="1" applyProtection="1">
      <alignment horizontal="center" vertical="top" wrapText="1"/>
      <protection hidden="1"/>
    </xf>
    <xf numFmtId="2" fontId="245" fillId="42" borderId="270" xfId="67" applyNumberFormat="1" applyFont="1" applyFill="1" applyBorder="1" applyAlignment="1" applyProtection="1">
      <alignment horizontal="center" vertical="top" wrapText="1"/>
      <protection hidden="1"/>
    </xf>
    <xf numFmtId="2" fontId="245" fillId="42" borderId="175" xfId="67" applyNumberFormat="1" applyFont="1" applyFill="1" applyBorder="1" applyAlignment="1" applyProtection="1">
      <alignment horizontal="center" vertical="top" wrapText="1"/>
      <protection hidden="1"/>
    </xf>
    <xf numFmtId="2" fontId="245" fillId="42" borderId="96" xfId="67" applyNumberFormat="1" applyFont="1" applyFill="1" applyBorder="1" applyAlignment="1" applyProtection="1">
      <alignment horizontal="center" vertical="top" wrapText="1"/>
      <protection hidden="1"/>
    </xf>
    <xf numFmtId="2" fontId="245" fillId="42" borderId="176" xfId="67" applyNumberFormat="1" applyFont="1" applyFill="1" applyBorder="1" applyAlignment="1" applyProtection="1">
      <alignment horizontal="center" vertical="top" wrapText="1"/>
      <protection hidden="1"/>
    </xf>
    <xf numFmtId="0" fontId="3" fillId="0" borderId="169" xfId="0" applyFont="1" applyFill="1" applyBorder="1" applyAlignment="1" applyProtection="1">
      <alignment horizontal="left"/>
      <protection hidden="1"/>
    </xf>
    <xf numFmtId="0" fontId="3" fillId="0" borderId="170" xfId="0" applyFont="1" applyFill="1" applyBorder="1" applyAlignment="1" applyProtection="1">
      <alignment horizontal="left"/>
      <protection hidden="1"/>
    </xf>
    <xf numFmtId="0" fontId="3" fillId="0" borderId="171" xfId="0" applyFont="1" applyFill="1" applyBorder="1" applyAlignment="1" applyProtection="1">
      <alignment horizontal="left"/>
      <protection hidden="1"/>
    </xf>
    <xf numFmtId="0" fontId="47" fillId="51" borderId="278" xfId="342" applyFont="1" applyFill="1" applyBorder="1" applyAlignment="1" applyProtection="1">
      <alignment horizontal="left"/>
      <protection hidden="1"/>
    </xf>
    <xf numFmtId="0" fontId="47" fillId="51" borderId="279" xfId="342" applyFont="1" applyFill="1" applyBorder="1" applyAlignment="1" applyProtection="1">
      <alignment horizontal="left"/>
      <protection hidden="1"/>
    </xf>
    <xf numFmtId="0" fontId="240" fillId="0" borderId="212" xfId="108" applyFont="1" applyBorder="1" applyAlignment="1" applyProtection="1">
      <alignment horizontal="center"/>
      <protection hidden="1"/>
    </xf>
    <xf numFmtId="0" fontId="240" fillId="0" borderId="163" xfId="108" applyFont="1" applyBorder="1" applyAlignment="1" applyProtection="1">
      <alignment horizontal="center"/>
      <protection hidden="1"/>
    </xf>
    <xf numFmtId="0" fontId="240" fillId="0" borderId="164" xfId="108" applyFont="1" applyBorder="1" applyAlignment="1" applyProtection="1">
      <alignment horizontal="center"/>
      <protection hidden="1"/>
    </xf>
    <xf numFmtId="0" fontId="174" fillId="0" borderId="212" xfId="108" applyFont="1" applyBorder="1" applyAlignment="1" applyProtection="1">
      <alignment horizontal="center"/>
      <protection hidden="1"/>
    </xf>
    <xf numFmtId="0" fontId="174" fillId="0" borderId="163" xfId="108" applyFont="1" applyBorder="1" applyAlignment="1" applyProtection="1">
      <alignment horizontal="center"/>
      <protection hidden="1"/>
    </xf>
    <xf numFmtId="0" fontId="174" fillId="0" borderId="164" xfId="108" applyFont="1" applyBorder="1" applyAlignment="1" applyProtection="1">
      <alignment horizontal="center"/>
      <protection hidden="1"/>
    </xf>
    <xf numFmtId="0" fontId="247" fillId="0" borderId="212" xfId="108" applyFont="1" applyBorder="1" applyAlignment="1" applyProtection="1">
      <alignment horizontal="center"/>
      <protection hidden="1"/>
    </xf>
    <xf numFmtId="0" fontId="247" fillId="0" borderId="163" xfId="108" applyFont="1" applyBorder="1" applyAlignment="1" applyProtection="1">
      <alignment horizontal="center"/>
      <protection hidden="1"/>
    </xf>
    <xf numFmtId="0" fontId="247" fillId="0" borderId="164" xfId="108" applyFont="1" applyBorder="1" applyAlignment="1" applyProtection="1">
      <alignment horizontal="center"/>
      <protection hidden="1"/>
    </xf>
    <xf numFmtId="0" fontId="52" fillId="0" borderId="167" xfId="46" applyFont="1" applyFill="1" applyBorder="1" applyAlignment="1" applyProtection="1">
      <alignment horizontal="left" vertical="top"/>
      <protection hidden="1"/>
    </xf>
    <xf numFmtId="0" fontId="52" fillId="0" borderId="0" xfId="46" applyFont="1" applyFill="1" applyBorder="1" applyAlignment="1" applyProtection="1">
      <alignment horizontal="left" vertical="top"/>
      <protection hidden="1"/>
    </xf>
    <xf numFmtId="0" fontId="52" fillId="0" borderId="210" xfId="46" applyFont="1" applyFill="1" applyBorder="1" applyAlignment="1" applyProtection="1">
      <alignment horizontal="left" vertical="top"/>
      <protection hidden="1"/>
    </xf>
    <xf numFmtId="1" fontId="3" fillId="0" borderId="167" xfId="69" applyNumberFormat="1" applyFont="1" applyBorder="1" applyAlignment="1" applyProtection="1">
      <alignment horizontal="left"/>
      <protection hidden="1"/>
    </xf>
    <xf numFmtId="1" fontId="3" fillId="0" borderId="0" xfId="69" applyNumberFormat="1" applyFont="1" applyBorder="1" applyAlignment="1" applyProtection="1">
      <alignment horizontal="left"/>
      <protection hidden="1"/>
    </xf>
    <xf numFmtId="1" fontId="3" fillId="0" borderId="15" xfId="69" applyNumberFormat="1" applyFont="1" applyBorder="1" applyAlignment="1" applyProtection="1">
      <alignment horizontal="left"/>
      <protection hidden="1"/>
    </xf>
    <xf numFmtId="0" fontId="52" fillId="0" borderId="0" xfId="46" applyFont="1" applyBorder="1" applyAlignment="1" applyProtection="1">
      <protection hidden="1"/>
    </xf>
    <xf numFmtId="0" fontId="52" fillId="0" borderId="203" xfId="46" applyFont="1" applyBorder="1" applyAlignment="1" applyProtection="1">
      <protection hidden="1"/>
    </xf>
    <xf numFmtId="0" fontId="47" fillId="0" borderId="0" xfId="0" applyFont="1" applyFill="1" applyBorder="1" applyAlignment="1" applyProtection="1">
      <protection hidden="1"/>
    </xf>
    <xf numFmtId="0" fontId="47" fillId="0" borderId="203" xfId="0" applyFont="1" applyFill="1" applyBorder="1" applyAlignment="1" applyProtection="1">
      <protection hidden="1"/>
    </xf>
    <xf numFmtId="0" fontId="3" fillId="0" borderId="173" xfId="69" applyFont="1" applyFill="1" applyBorder="1" applyAlignment="1" applyProtection="1">
      <alignment horizontal="left"/>
      <protection hidden="1"/>
    </xf>
    <xf numFmtId="0" fontId="3" fillId="0" borderId="138" xfId="69" applyFont="1" applyFill="1" applyBorder="1" applyAlignment="1" applyProtection="1">
      <alignment horizontal="left"/>
      <protection hidden="1"/>
    </xf>
    <xf numFmtId="0" fontId="3" fillId="0" borderId="168" xfId="69" applyFont="1" applyFill="1" applyBorder="1" applyAlignment="1" applyProtection="1">
      <alignment horizontal="left"/>
      <protection hidden="1"/>
    </xf>
    <xf numFmtId="164" fontId="277" fillId="0" borderId="196" xfId="69" applyNumberFormat="1" applyFont="1" applyBorder="1" applyAlignment="1" applyProtection="1">
      <alignment horizontal="center" vertical="center" wrapText="1"/>
      <protection hidden="1"/>
    </xf>
    <xf numFmtId="164" fontId="277" fillId="0" borderId="198" xfId="69" applyNumberFormat="1" applyFont="1" applyBorder="1" applyAlignment="1" applyProtection="1">
      <alignment horizontal="center" vertical="center" wrapText="1"/>
      <protection hidden="1"/>
    </xf>
    <xf numFmtId="164" fontId="277" fillId="0" borderId="175" xfId="69" applyNumberFormat="1" applyFont="1" applyBorder="1" applyAlignment="1" applyProtection="1">
      <alignment horizontal="center" vertical="center" wrapText="1"/>
      <protection hidden="1"/>
    </xf>
    <xf numFmtId="164" fontId="277" fillId="0" borderId="176" xfId="69" applyNumberFormat="1" applyFont="1" applyBorder="1" applyAlignment="1" applyProtection="1">
      <alignment horizontal="center" vertical="center" wrapText="1"/>
      <protection hidden="1"/>
    </xf>
    <xf numFmtId="164" fontId="279" fillId="0" borderId="196" xfId="69" applyNumberFormat="1" applyFont="1" applyBorder="1" applyAlignment="1" applyProtection="1">
      <alignment horizontal="center" vertical="center" wrapText="1"/>
      <protection hidden="1"/>
    </xf>
    <xf numFmtId="164" fontId="279" fillId="0" borderId="198" xfId="69" applyNumberFormat="1" applyFont="1" applyBorder="1" applyAlignment="1" applyProtection="1">
      <alignment horizontal="center" vertical="center" wrapText="1"/>
      <protection hidden="1"/>
    </xf>
    <xf numFmtId="164" fontId="279" fillId="0" borderId="175" xfId="69" applyNumberFormat="1" applyFont="1" applyBorder="1" applyAlignment="1" applyProtection="1">
      <alignment horizontal="center" vertical="center" wrapText="1"/>
      <protection hidden="1"/>
    </xf>
    <xf numFmtId="164" fontId="279" fillId="0" borderId="176" xfId="69" applyNumberFormat="1" applyFont="1" applyBorder="1" applyAlignment="1" applyProtection="1">
      <alignment horizontal="center" vertical="center" wrapText="1"/>
      <protection hidden="1"/>
    </xf>
    <xf numFmtId="0" fontId="281" fillId="0" borderId="196" xfId="67" applyFont="1" applyBorder="1" applyAlignment="1" applyProtection="1">
      <alignment horizontal="center" vertical="center" wrapText="1"/>
      <protection hidden="1"/>
    </xf>
    <xf numFmtId="0" fontId="0" fillId="0" borderId="198" xfId="0" applyBorder="1" applyAlignment="1" applyProtection="1">
      <alignment wrapText="1"/>
      <protection hidden="1"/>
    </xf>
    <xf numFmtId="0" fontId="0" fillId="0" borderId="175" xfId="0" applyBorder="1" applyAlignment="1" applyProtection="1">
      <alignment wrapText="1"/>
      <protection hidden="1"/>
    </xf>
    <xf numFmtId="0" fontId="0" fillId="0" borderId="176" xfId="0" applyBorder="1" applyAlignment="1" applyProtection="1">
      <alignment wrapText="1"/>
      <protection hidden="1"/>
    </xf>
    <xf numFmtId="0" fontId="3" fillId="0" borderId="0" xfId="69" applyFont="1" applyBorder="1" applyAlignment="1" applyProtection="1">
      <protection hidden="1"/>
    </xf>
    <xf numFmtId="0" fontId="3" fillId="0" borderId="203" xfId="69" applyFont="1" applyBorder="1" applyAlignment="1" applyProtection="1">
      <protection hidden="1"/>
    </xf>
    <xf numFmtId="0" fontId="3" fillId="0" borderId="167" xfId="69" applyFont="1" applyBorder="1" applyAlignment="1" applyProtection="1">
      <alignment horizontal="left"/>
      <protection hidden="1"/>
    </xf>
    <xf numFmtId="0" fontId="3" fillId="0" borderId="0" xfId="69" applyFont="1" applyBorder="1" applyAlignment="1" applyProtection="1">
      <alignment horizontal="left"/>
      <protection hidden="1"/>
    </xf>
    <xf numFmtId="0" fontId="3" fillId="0" borderId="15" xfId="69" applyFont="1" applyBorder="1" applyAlignment="1" applyProtection="1">
      <alignment horizontal="left"/>
      <protection hidden="1"/>
    </xf>
    <xf numFmtId="0" fontId="3" fillId="0" borderId="203" xfId="69" applyFont="1" applyFill="1" applyBorder="1" applyAlignment="1" applyProtection="1">
      <alignment horizontal="left"/>
      <protection hidden="1"/>
    </xf>
    <xf numFmtId="0" fontId="52" fillId="0" borderId="162" xfId="46" applyFont="1" applyBorder="1" applyAlignment="1" applyProtection="1">
      <protection hidden="1"/>
    </xf>
    <xf numFmtId="0" fontId="52" fillId="0" borderId="163" xfId="46" applyFont="1" applyBorder="1" applyAlignment="1" applyProtection="1">
      <protection hidden="1"/>
    </xf>
    <xf numFmtId="0" fontId="52" fillId="0" borderId="164" xfId="46" applyFont="1" applyBorder="1" applyAlignment="1" applyProtection="1">
      <protection hidden="1"/>
    </xf>
    <xf numFmtId="0" fontId="47" fillId="0" borderId="162" xfId="108" applyBorder="1" applyAlignment="1" applyProtection="1">
      <alignment horizontal="center"/>
      <protection hidden="1"/>
    </xf>
    <xf numFmtId="0" fontId="47" fillId="0" borderId="164" xfId="108" applyBorder="1" applyAlignment="1" applyProtection="1">
      <alignment horizontal="center"/>
      <protection hidden="1"/>
    </xf>
    <xf numFmtId="0" fontId="47" fillId="42" borderId="17" xfId="67" applyFont="1" applyFill="1" applyBorder="1" applyAlignment="1" applyProtection="1">
      <alignment horizontal="left"/>
      <protection hidden="1"/>
    </xf>
    <xf numFmtId="0" fontId="3" fillId="0" borderId="0" xfId="69" applyFont="1" applyFill="1" applyBorder="1" applyAlignment="1" applyProtection="1">
      <protection hidden="1"/>
    </xf>
    <xf numFmtId="0" fontId="3" fillId="0" borderId="203" xfId="69" applyFont="1" applyFill="1" applyBorder="1" applyAlignment="1" applyProtection="1">
      <protection hidden="1"/>
    </xf>
    <xf numFmtId="0" fontId="15" fillId="35" borderId="162" xfId="66" applyFont="1" applyFill="1" applyBorder="1" applyAlignment="1" applyProtection="1">
      <alignment horizontal="left"/>
      <protection hidden="1"/>
    </xf>
    <xf numFmtId="0" fontId="15" fillId="35" borderId="163" xfId="66" applyFont="1" applyFill="1" applyBorder="1" applyAlignment="1" applyProtection="1">
      <alignment horizontal="left"/>
      <protection hidden="1"/>
    </xf>
    <xf numFmtId="0" fontId="171" fillId="0" borderId="163" xfId="69" applyFont="1" applyBorder="1" applyAlignment="1" applyProtection="1">
      <alignment horizontal="left"/>
      <protection hidden="1"/>
    </xf>
    <xf numFmtId="0" fontId="171" fillId="0" borderId="164" xfId="69" applyFont="1" applyBorder="1" applyAlignment="1" applyProtection="1">
      <alignment horizontal="left"/>
      <protection hidden="1"/>
    </xf>
    <xf numFmtId="0" fontId="3" fillId="71" borderId="167" xfId="69" applyFont="1" applyFill="1" applyBorder="1" applyAlignment="1" applyProtection="1">
      <alignment horizontal="left"/>
      <protection locked="0"/>
    </xf>
    <xf numFmtId="0" fontId="3" fillId="71" borderId="51" xfId="69" applyFont="1" applyFill="1" applyBorder="1" applyAlignment="1" applyProtection="1">
      <alignment horizontal="left"/>
      <protection locked="0"/>
    </xf>
    <xf numFmtId="0" fontId="3" fillId="41" borderId="16" xfId="69" applyFont="1" applyFill="1" applyBorder="1" applyAlignment="1" applyProtection="1">
      <alignment horizontal="center" vertical="center" textRotation="90"/>
      <protection hidden="1"/>
    </xf>
    <xf numFmtId="0" fontId="3" fillId="41" borderId="179" xfId="69" applyFont="1" applyFill="1" applyBorder="1" applyAlignment="1" applyProtection="1">
      <alignment horizontal="center" vertical="center" textRotation="90"/>
      <protection hidden="1"/>
    </xf>
    <xf numFmtId="0" fontId="3" fillId="0" borderId="52" xfId="69" applyFont="1" applyBorder="1" applyAlignment="1" applyProtection="1">
      <alignment horizontal="left"/>
      <protection hidden="1"/>
    </xf>
    <xf numFmtId="0" fontId="3" fillId="0" borderId="203" xfId="69" applyFont="1" applyBorder="1" applyAlignment="1" applyProtection="1">
      <alignment horizontal="left"/>
      <protection hidden="1"/>
    </xf>
    <xf numFmtId="0" fontId="3" fillId="71" borderId="175" xfId="69" applyFont="1" applyFill="1" applyBorder="1" applyAlignment="1" applyProtection="1">
      <alignment horizontal="left"/>
      <protection locked="0"/>
    </xf>
    <xf numFmtId="0" fontId="3" fillId="71" borderId="185" xfId="69" applyFont="1" applyFill="1" applyBorder="1" applyAlignment="1" applyProtection="1">
      <alignment horizontal="left"/>
      <protection locked="0"/>
    </xf>
    <xf numFmtId="0" fontId="150" fillId="75" borderId="167" xfId="63" applyFont="1" applyFill="1" applyBorder="1" applyAlignment="1" applyProtection="1">
      <alignment horizontal="center"/>
      <protection hidden="1"/>
    </xf>
    <xf numFmtId="0" fontId="3" fillId="13" borderId="173" xfId="69" applyFont="1" applyFill="1" applyBorder="1" applyAlignment="1" applyProtection="1">
      <alignment horizontal="center" vertical="center" textRotation="90"/>
      <protection hidden="1"/>
    </xf>
    <xf numFmtId="0" fontId="3" fillId="13" borderId="167" xfId="69" applyFont="1" applyFill="1" applyBorder="1" applyAlignment="1" applyProtection="1">
      <alignment horizontal="center" vertical="center" textRotation="90"/>
      <protection hidden="1"/>
    </xf>
    <xf numFmtId="0" fontId="20" fillId="0" borderId="162" xfId="69" applyFont="1" applyBorder="1" applyAlignment="1" applyProtection="1">
      <alignment horizontal="left"/>
      <protection hidden="1"/>
    </xf>
    <xf numFmtId="0" fontId="20" fillId="0" borderId="163" xfId="69" applyFont="1" applyBorder="1" applyAlignment="1" applyProtection="1">
      <alignment horizontal="left"/>
      <protection hidden="1"/>
    </xf>
    <xf numFmtId="0" fontId="3" fillId="71" borderId="173" xfId="69" applyFont="1" applyFill="1" applyBorder="1" applyAlignment="1" applyProtection="1">
      <alignment horizontal="left"/>
      <protection locked="0"/>
    </xf>
    <xf numFmtId="0" fontId="3" fillId="71" borderId="186" xfId="69" applyFont="1" applyFill="1" applyBorder="1" applyAlignment="1" applyProtection="1">
      <alignment horizontal="left"/>
      <protection locked="0"/>
    </xf>
    <xf numFmtId="0" fontId="52" fillId="0" borderId="167" xfId="46" applyFont="1" applyBorder="1" applyAlignment="1" applyProtection="1">
      <alignment horizontal="center" vertical="center" wrapText="1"/>
      <protection hidden="1"/>
    </xf>
    <xf numFmtId="0" fontId="52" fillId="0" borderId="0" xfId="46" applyFont="1" applyBorder="1" applyAlignment="1" applyProtection="1">
      <alignment horizontal="center" vertical="center" wrapText="1"/>
      <protection hidden="1"/>
    </xf>
    <xf numFmtId="0" fontId="3" fillId="35" borderId="0" xfId="69" applyFont="1" applyFill="1" applyBorder="1" applyAlignment="1" applyProtection="1">
      <alignment horizontal="right"/>
      <protection hidden="1"/>
    </xf>
    <xf numFmtId="0" fontId="3" fillId="35" borderId="210" xfId="69" applyFont="1" applyFill="1" applyBorder="1" applyAlignment="1" applyProtection="1">
      <alignment horizontal="right"/>
      <protection hidden="1"/>
    </xf>
    <xf numFmtId="0" fontId="1" fillId="35" borderId="173" xfId="69" applyFont="1" applyFill="1" applyBorder="1" applyAlignment="1" applyProtection="1">
      <alignment horizontal="center"/>
      <protection hidden="1"/>
    </xf>
    <xf numFmtId="0" fontId="1" fillId="35" borderId="138" xfId="69" applyFont="1" applyFill="1" applyBorder="1" applyAlignment="1" applyProtection="1">
      <alignment horizontal="center"/>
      <protection hidden="1"/>
    </xf>
    <xf numFmtId="0" fontId="1" fillId="35" borderId="140" xfId="69" applyFont="1" applyFill="1" applyBorder="1" applyAlignment="1" applyProtection="1">
      <alignment horizontal="center"/>
      <protection hidden="1"/>
    </xf>
    <xf numFmtId="0" fontId="1" fillId="35" borderId="167" xfId="69" applyFont="1" applyFill="1" applyBorder="1" applyAlignment="1" applyProtection="1">
      <alignment horizontal="center"/>
      <protection hidden="1"/>
    </xf>
    <xf numFmtId="0" fontId="1" fillId="35" borderId="0" xfId="69" applyFont="1" applyFill="1" applyBorder="1" applyAlignment="1" applyProtection="1">
      <alignment horizontal="center"/>
      <protection hidden="1"/>
    </xf>
    <xf numFmtId="0" fontId="1" fillId="35" borderId="15" xfId="69" applyFont="1" applyFill="1" applyBorder="1" applyAlignment="1" applyProtection="1">
      <alignment horizontal="center"/>
      <protection hidden="1"/>
    </xf>
    <xf numFmtId="0" fontId="1" fillId="35" borderId="175" xfId="69" applyFont="1" applyFill="1" applyBorder="1" applyAlignment="1" applyProtection="1">
      <alignment horizontal="center"/>
      <protection hidden="1"/>
    </xf>
    <xf numFmtId="0" fontId="1" fillId="35" borderId="96" xfId="69" applyFont="1" applyFill="1" applyBorder="1" applyAlignment="1" applyProtection="1">
      <alignment horizontal="center"/>
      <protection hidden="1"/>
    </xf>
    <xf numFmtId="0" fontId="1" fillId="35" borderId="176" xfId="69" applyFont="1" applyFill="1" applyBorder="1" applyAlignment="1" applyProtection="1">
      <alignment horizontal="center"/>
      <protection hidden="1"/>
    </xf>
    <xf numFmtId="0" fontId="92" fillId="42" borderId="172" xfId="63" applyFont="1" applyFill="1" applyBorder="1" applyAlignment="1" applyProtection="1">
      <alignment horizontal="center"/>
      <protection hidden="1"/>
    </xf>
    <xf numFmtId="0" fontId="38" fillId="35" borderId="16" xfId="69" applyFont="1" applyFill="1" applyBorder="1" applyAlignment="1" applyProtection="1">
      <alignment horizontal="center"/>
      <protection hidden="1"/>
    </xf>
    <xf numFmtId="0" fontId="268" fillId="35" borderId="179" xfId="69" applyFont="1" applyFill="1" applyBorder="1" applyAlignment="1" applyProtection="1">
      <alignment horizontal="center"/>
      <protection hidden="1"/>
    </xf>
    <xf numFmtId="0" fontId="272" fillId="35" borderId="179" xfId="69" applyFont="1" applyFill="1" applyBorder="1" applyAlignment="1" applyProtection="1">
      <alignment horizontal="center"/>
      <protection hidden="1"/>
    </xf>
    <xf numFmtId="0" fontId="269" fillId="42" borderId="179" xfId="63" applyFont="1" applyFill="1" applyBorder="1" applyAlignment="1" applyProtection="1">
      <alignment horizontal="center"/>
      <protection hidden="1"/>
    </xf>
    <xf numFmtId="164" fontId="3" fillId="35" borderId="0" xfId="69" applyNumberFormat="1" applyFont="1" applyFill="1" applyBorder="1" applyAlignment="1" applyProtection="1">
      <alignment horizontal="left"/>
      <protection hidden="1"/>
    </xf>
    <xf numFmtId="0" fontId="47" fillId="35" borderId="0" xfId="0" applyFont="1" applyFill="1" applyAlignment="1" applyProtection="1">
      <alignment horizontal="left"/>
      <protection hidden="1"/>
    </xf>
    <xf numFmtId="0" fontId="47" fillId="35" borderId="0" xfId="0" applyFont="1" applyFill="1" applyBorder="1" applyAlignment="1" applyProtection="1">
      <alignment horizontal="left"/>
      <protection hidden="1"/>
    </xf>
    <xf numFmtId="2" fontId="3" fillId="35" borderId="0" xfId="84" applyNumberFormat="1" applyFont="1" applyFill="1" applyBorder="1" applyAlignment="1" applyProtection="1">
      <alignment horizontal="left"/>
      <protection hidden="1"/>
    </xf>
    <xf numFmtId="0" fontId="3" fillId="35" borderId="0" xfId="84" applyFont="1" applyFill="1" applyAlignment="1" applyProtection="1">
      <alignment horizontal="left"/>
      <protection hidden="1"/>
    </xf>
    <xf numFmtId="0" fontId="3" fillId="51" borderId="0" xfId="0" applyFont="1" applyFill="1" applyBorder="1" applyAlignment="1" applyProtection="1">
      <alignment horizontal="right"/>
      <protection hidden="1"/>
    </xf>
    <xf numFmtId="0" fontId="47" fillId="42" borderId="0" xfId="108" applyFill="1" applyBorder="1" applyAlignment="1" applyProtection="1">
      <alignment horizontal="left"/>
      <protection hidden="1"/>
    </xf>
    <xf numFmtId="2" fontId="3" fillId="35" borderId="96" xfId="66" applyNumberFormat="1" applyFont="1" applyFill="1" applyBorder="1" applyAlignment="1" applyProtection="1">
      <protection hidden="1"/>
    </xf>
    <xf numFmtId="2" fontId="3" fillId="35" borderId="176" xfId="66" applyNumberFormat="1" applyFont="1" applyFill="1" applyBorder="1" applyAlignment="1" applyProtection="1">
      <protection hidden="1"/>
    </xf>
    <xf numFmtId="0" fontId="52" fillId="35" borderId="0" xfId="46" applyFont="1" applyFill="1" applyAlignment="1" applyProtection="1">
      <alignment horizontal="left"/>
      <protection hidden="1"/>
    </xf>
    <xf numFmtId="0" fontId="157" fillId="45" borderId="0" xfId="0" applyFont="1" applyFill="1" applyAlignment="1" applyProtection="1">
      <alignment horizontal="center"/>
      <protection hidden="1"/>
    </xf>
    <xf numFmtId="0" fontId="47" fillId="42" borderId="0" xfId="108" applyFont="1" applyFill="1" applyAlignment="1" applyProtection="1">
      <alignment horizontal="right"/>
      <protection hidden="1"/>
    </xf>
    <xf numFmtId="0" fontId="47" fillId="42" borderId="0" xfId="108" applyFont="1" applyFill="1" applyAlignment="1" applyProtection="1">
      <alignment horizontal="left" wrapText="1"/>
      <protection hidden="1"/>
    </xf>
    <xf numFmtId="0" fontId="47" fillId="42" borderId="0" xfId="108" applyFont="1" applyFill="1" applyBorder="1" applyAlignment="1" applyProtection="1">
      <alignment horizontal="left" wrapText="1"/>
      <protection hidden="1"/>
    </xf>
    <xf numFmtId="165" fontId="3" fillId="51" borderId="0" xfId="69" applyNumberFormat="1" applyFont="1" applyFill="1" applyAlignment="1" applyProtection="1">
      <alignment horizontal="left"/>
      <protection hidden="1"/>
    </xf>
    <xf numFmtId="164" fontId="3" fillId="35" borderId="183" xfId="69" applyNumberFormat="1" applyFont="1" applyFill="1" applyBorder="1" applyAlignment="1" applyProtection="1">
      <alignment horizontal="left"/>
      <protection hidden="1"/>
    </xf>
    <xf numFmtId="164" fontId="3" fillId="35" borderId="184" xfId="69" applyNumberFormat="1" applyFont="1" applyFill="1" applyBorder="1" applyAlignment="1" applyProtection="1">
      <alignment horizontal="left"/>
      <protection hidden="1"/>
    </xf>
    <xf numFmtId="0" fontId="267" fillId="51" borderId="171" xfId="0" applyFont="1" applyFill="1" applyBorder="1" applyProtection="1">
      <protection hidden="1"/>
    </xf>
    <xf numFmtId="164" fontId="3" fillId="35" borderId="167" xfId="84" applyNumberFormat="1" applyFont="1" applyFill="1" applyBorder="1" applyAlignment="1" applyProtection="1">
      <alignment horizontal="left"/>
      <protection hidden="1"/>
    </xf>
    <xf numFmtId="164" fontId="3" fillId="35" borderId="0" xfId="84" applyNumberFormat="1" applyFont="1" applyFill="1" applyBorder="1" applyAlignment="1" applyProtection="1">
      <alignment horizontal="left"/>
      <protection hidden="1"/>
    </xf>
    <xf numFmtId="0" fontId="3" fillId="35" borderId="183" xfId="84" applyFont="1" applyFill="1" applyBorder="1" applyAlignment="1" applyProtection="1">
      <alignment horizontal="left"/>
      <protection hidden="1"/>
    </xf>
    <xf numFmtId="0" fontId="3" fillId="35" borderId="184" xfId="84" applyFont="1" applyFill="1" applyBorder="1" applyAlignment="1" applyProtection="1">
      <alignment horizontal="left"/>
      <protection hidden="1"/>
    </xf>
    <xf numFmtId="164" fontId="3" fillId="35" borderId="167" xfId="69" applyNumberFormat="1" applyFont="1" applyFill="1" applyBorder="1" applyAlignment="1" applyProtection="1">
      <alignment horizontal="left"/>
      <protection hidden="1"/>
    </xf>
    <xf numFmtId="0" fontId="3" fillId="35" borderId="167" xfId="69" applyFont="1" applyFill="1" applyBorder="1" applyAlignment="1" applyProtection="1">
      <alignment horizontal="left"/>
      <protection hidden="1"/>
    </xf>
    <xf numFmtId="0" fontId="3" fillId="35" borderId="0" xfId="69" applyFont="1" applyFill="1" applyBorder="1" applyAlignment="1" applyProtection="1">
      <alignment horizontal="left"/>
      <protection hidden="1"/>
    </xf>
    <xf numFmtId="164" fontId="3" fillId="35" borderId="167" xfId="69" applyNumberFormat="1" applyFont="1" applyFill="1" applyBorder="1" applyAlignment="1" applyProtection="1">
      <protection hidden="1"/>
    </xf>
    <xf numFmtId="164" fontId="3" fillId="35" borderId="0" xfId="69" applyNumberFormat="1" applyFont="1" applyFill="1" applyBorder="1" applyAlignment="1" applyProtection="1">
      <protection hidden="1"/>
    </xf>
    <xf numFmtId="1" fontId="3" fillId="35" borderId="167" xfId="69" applyNumberFormat="1" applyFont="1" applyFill="1" applyBorder="1" applyAlignment="1" applyProtection="1">
      <alignment horizontal="left"/>
      <protection hidden="1"/>
    </xf>
    <xf numFmtId="1" fontId="3" fillId="35" borderId="0" xfId="69" applyNumberFormat="1" applyFont="1" applyFill="1" applyBorder="1" applyAlignment="1" applyProtection="1">
      <alignment horizontal="left"/>
      <protection hidden="1"/>
    </xf>
    <xf numFmtId="2" fontId="3" fillId="35" borderId="167" xfId="84" applyNumberFormat="1" applyFont="1" applyFill="1" applyBorder="1" applyAlignment="1" applyProtection="1">
      <protection hidden="1"/>
    </xf>
    <xf numFmtId="2" fontId="3" fillId="35" borderId="0" xfId="84" applyNumberFormat="1" applyFont="1" applyFill="1" applyBorder="1" applyAlignment="1" applyProtection="1">
      <protection hidden="1"/>
    </xf>
    <xf numFmtId="0" fontId="20" fillId="35" borderId="162" xfId="66" applyFont="1" applyFill="1" applyBorder="1" applyAlignment="1" applyProtection="1">
      <alignment horizontal="right"/>
      <protection hidden="1"/>
    </xf>
    <xf numFmtId="0" fontId="20" fillId="35" borderId="164" xfId="66" applyFont="1" applyFill="1" applyBorder="1" applyAlignment="1" applyProtection="1">
      <alignment horizontal="right"/>
      <protection hidden="1"/>
    </xf>
    <xf numFmtId="0" fontId="40" fillId="37" borderId="162" xfId="84" applyFont="1" applyFill="1" applyBorder="1" applyAlignment="1" applyProtection="1">
      <alignment horizontal="left"/>
      <protection locked="0"/>
    </xf>
    <xf numFmtId="0" fontId="40" fillId="37" borderId="163" xfId="84" applyFont="1" applyFill="1" applyBorder="1" applyAlignment="1" applyProtection="1">
      <alignment horizontal="left"/>
      <protection locked="0"/>
    </xf>
    <xf numFmtId="0" fontId="40" fillId="37" borderId="164" xfId="84" applyFont="1" applyFill="1" applyBorder="1" applyAlignment="1" applyProtection="1">
      <alignment horizontal="left"/>
      <protection locked="0"/>
    </xf>
    <xf numFmtId="164" fontId="3" fillId="35" borderId="173" xfId="69" applyNumberFormat="1" applyFont="1" applyFill="1" applyBorder="1" applyAlignment="1" applyProtection="1">
      <alignment horizontal="left"/>
      <protection hidden="1"/>
    </xf>
    <xf numFmtId="164" fontId="3" fillId="35" borderId="138" xfId="69" applyNumberFormat="1" applyFont="1" applyFill="1" applyBorder="1" applyAlignment="1" applyProtection="1">
      <alignment horizontal="left"/>
      <protection hidden="1"/>
    </xf>
    <xf numFmtId="0" fontId="3" fillId="35" borderId="173" xfId="84" applyFill="1" applyBorder="1" applyAlignment="1" applyProtection="1">
      <alignment horizontal="left"/>
      <protection hidden="1"/>
    </xf>
    <xf numFmtId="0" fontId="3" fillId="35" borderId="138" xfId="84" applyFill="1" applyBorder="1" applyAlignment="1" applyProtection="1">
      <alignment horizontal="left"/>
      <protection hidden="1"/>
    </xf>
    <xf numFmtId="0" fontId="31" fillId="35" borderId="138" xfId="69" applyFont="1" applyFill="1" applyBorder="1" applyAlignment="1" applyProtection="1">
      <alignment horizontal="center"/>
      <protection hidden="1"/>
    </xf>
    <xf numFmtId="0" fontId="3" fillId="35" borderId="0" xfId="69" applyFont="1" applyFill="1" applyAlignment="1" applyProtection="1">
      <alignment horizontal="left"/>
      <protection hidden="1"/>
    </xf>
    <xf numFmtId="169" fontId="57" fillId="35" borderId="0" xfId="69" applyNumberFormat="1" applyFont="1" applyFill="1" applyBorder="1" applyAlignment="1" applyProtection="1">
      <alignment horizontal="center" vertical="center" wrapText="1"/>
      <protection locked="0"/>
    </xf>
    <xf numFmtId="1" fontId="3" fillId="35" borderId="167" xfId="69" applyNumberFormat="1" applyFont="1" applyFill="1" applyBorder="1" applyAlignment="1" applyProtection="1">
      <alignment horizontal="center" vertical="center" wrapText="1"/>
      <protection locked="0"/>
    </xf>
    <xf numFmtId="1" fontId="3" fillId="35" borderId="15" xfId="69" applyNumberFormat="1" applyFont="1" applyFill="1" applyBorder="1" applyAlignment="1" applyProtection="1">
      <alignment horizontal="center" vertical="center" wrapText="1"/>
      <protection locked="0"/>
    </xf>
    <xf numFmtId="1" fontId="15" fillId="35" borderId="167" xfId="69" applyNumberFormat="1" applyFont="1" applyFill="1" applyBorder="1" applyAlignment="1" applyProtection="1">
      <alignment horizontal="center" vertical="center" wrapText="1"/>
      <protection locked="0"/>
    </xf>
    <xf numFmtId="1" fontId="15" fillId="35" borderId="15" xfId="69" applyNumberFormat="1" applyFont="1" applyFill="1" applyBorder="1" applyAlignment="1" applyProtection="1">
      <alignment horizontal="center" vertical="center" wrapText="1"/>
      <protection locked="0"/>
    </xf>
    <xf numFmtId="0" fontId="52" fillId="35" borderId="0" xfId="46" applyFont="1" applyFill="1" applyAlignment="1" applyProtection="1">
      <alignment horizontal="left" wrapText="1"/>
      <protection hidden="1"/>
    </xf>
    <xf numFmtId="1" fontId="3" fillId="35" borderId="175" xfId="69" applyNumberFormat="1" applyFont="1" applyFill="1" applyBorder="1" applyAlignment="1" applyProtection="1">
      <alignment horizontal="center" vertical="center" wrapText="1"/>
      <protection locked="0"/>
    </xf>
    <xf numFmtId="1" fontId="3" fillId="35" borderId="176" xfId="69" applyNumberFormat="1" applyFont="1" applyFill="1" applyBorder="1" applyAlignment="1" applyProtection="1">
      <alignment horizontal="center" vertical="center" wrapText="1"/>
      <protection locked="0"/>
    </xf>
    <xf numFmtId="1" fontId="15" fillId="35" borderId="175" xfId="69" applyNumberFormat="1" applyFont="1" applyFill="1" applyBorder="1" applyAlignment="1" applyProtection="1">
      <alignment horizontal="center" vertical="center" wrapText="1"/>
      <protection locked="0"/>
    </xf>
    <xf numFmtId="1" fontId="15" fillId="35" borderId="176" xfId="69" applyNumberFormat="1" applyFont="1" applyFill="1" applyBorder="1" applyAlignment="1" applyProtection="1">
      <alignment horizontal="center" vertical="center" wrapText="1"/>
      <protection locked="0"/>
    </xf>
    <xf numFmtId="0" fontId="256" fillId="35" borderId="0" xfId="75" applyFont="1" applyFill="1" applyBorder="1" applyAlignment="1" applyProtection="1">
      <alignment horizontal="right"/>
      <protection hidden="1"/>
    </xf>
    <xf numFmtId="0" fontId="86" fillId="35" borderId="96" xfId="90" applyFont="1" applyFill="1" applyBorder="1" applyAlignment="1" applyProtection="1">
      <alignment horizontal="center" vertical="center"/>
      <protection locked="0"/>
    </xf>
    <xf numFmtId="0" fontId="25" fillId="35" borderId="96" xfId="46" applyFont="1" applyFill="1" applyBorder="1" applyAlignment="1" applyProtection="1">
      <alignment horizontal="right"/>
      <protection locked="0"/>
    </xf>
    <xf numFmtId="0" fontId="55" fillId="35" borderId="0" xfId="46" applyFont="1" applyFill="1" applyAlignment="1" applyProtection="1">
      <alignment horizontal="right"/>
      <protection hidden="1"/>
    </xf>
    <xf numFmtId="169" fontId="57" fillId="35" borderId="138" xfId="69" applyNumberFormat="1" applyFont="1" applyFill="1" applyBorder="1" applyAlignment="1" applyProtection="1">
      <alignment horizontal="center" vertical="center" wrapText="1"/>
      <protection locked="0"/>
    </xf>
    <xf numFmtId="1" fontId="3" fillId="35" borderId="173" xfId="69" applyNumberFormat="1" applyFont="1" applyFill="1" applyBorder="1" applyAlignment="1" applyProtection="1">
      <alignment horizontal="center" vertical="center" wrapText="1"/>
      <protection locked="0"/>
    </xf>
    <xf numFmtId="1" fontId="3" fillId="35" borderId="168" xfId="69" applyNumberFormat="1" applyFont="1" applyFill="1" applyBorder="1" applyAlignment="1" applyProtection="1">
      <alignment horizontal="center" vertical="center" wrapText="1"/>
      <protection locked="0"/>
    </xf>
    <xf numFmtId="1" fontId="15" fillId="35" borderId="173" xfId="69" applyNumberFormat="1" applyFont="1" applyFill="1" applyBorder="1" applyAlignment="1" applyProtection="1">
      <alignment horizontal="center" vertical="center" wrapText="1"/>
      <protection locked="0"/>
    </xf>
    <xf numFmtId="1" fontId="15" fillId="35" borderId="168" xfId="69" applyNumberFormat="1" applyFont="1" applyFill="1" applyBorder="1" applyAlignment="1" applyProtection="1">
      <alignment horizontal="center" vertical="center" wrapText="1"/>
      <protection locked="0"/>
    </xf>
    <xf numFmtId="0" fontId="86" fillId="35" borderId="0" xfId="69" applyFont="1" applyFill="1" applyAlignment="1" applyProtection="1">
      <alignment horizontal="center"/>
      <protection hidden="1"/>
    </xf>
    <xf numFmtId="0" fontId="144" fillId="0" borderId="0" xfId="69" applyNumberFormat="1" applyFont="1" applyFill="1" applyBorder="1" applyAlignment="1" applyProtection="1">
      <alignment horizontal="center" vertical="center" wrapText="1"/>
      <protection hidden="1"/>
    </xf>
    <xf numFmtId="0" fontId="59" fillId="45" borderId="0" xfId="0" applyFont="1" applyFill="1" applyBorder="1" applyAlignment="1" applyProtection="1">
      <alignment horizontal="left"/>
      <protection hidden="1"/>
    </xf>
    <xf numFmtId="0" fontId="47" fillId="45" borderId="212" xfId="108" applyFont="1" applyFill="1" applyBorder="1" applyAlignment="1" applyProtection="1">
      <alignment horizontal="center"/>
      <protection locked="0"/>
    </xf>
    <xf numFmtId="0" fontId="47" fillId="45" borderId="164" xfId="108" applyFont="1" applyFill="1" applyBorder="1" applyAlignment="1" applyProtection="1">
      <alignment horizontal="center"/>
      <protection locked="0"/>
    </xf>
    <xf numFmtId="0" fontId="47" fillId="45" borderId="274" xfId="108" applyNumberFormat="1" applyFill="1" applyBorder="1" applyAlignment="1" applyProtection="1">
      <alignment horizontal="center" wrapText="1"/>
      <protection hidden="1"/>
    </xf>
    <xf numFmtId="0" fontId="47" fillId="45" borderId="275" xfId="108" applyNumberFormat="1" applyFill="1" applyBorder="1" applyAlignment="1" applyProtection="1">
      <alignment horizontal="center" wrapText="1"/>
      <protection hidden="1"/>
    </xf>
    <xf numFmtId="0" fontId="47" fillId="45" borderId="274" xfId="108" applyNumberFormat="1" applyFont="1" applyFill="1" applyBorder="1" applyAlignment="1" applyProtection="1">
      <alignment horizontal="center"/>
      <protection hidden="1"/>
    </xf>
    <xf numFmtId="0" fontId="47" fillId="45" borderId="275" xfId="108" applyNumberFormat="1" applyFont="1" applyFill="1" applyBorder="1" applyAlignment="1" applyProtection="1">
      <alignment horizontal="center"/>
      <protection hidden="1"/>
    </xf>
    <xf numFmtId="0" fontId="47" fillId="45" borderId="274" xfId="108" applyNumberFormat="1" applyFill="1" applyBorder="1" applyAlignment="1" applyProtection="1">
      <alignment horizontal="center"/>
      <protection hidden="1"/>
    </xf>
    <xf numFmtId="0" fontId="47" fillId="45" borderId="275" xfId="108" applyNumberFormat="1" applyFill="1" applyBorder="1" applyAlignment="1" applyProtection="1">
      <alignment horizontal="center"/>
      <protection hidden="1"/>
    </xf>
    <xf numFmtId="0" fontId="1" fillId="51" borderId="0" xfId="69" applyFill="1" applyBorder="1" applyAlignment="1" applyProtection="1">
      <alignment horizontal="center"/>
      <protection hidden="1"/>
    </xf>
    <xf numFmtId="2" fontId="177" fillId="51" borderId="0" xfId="215" applyNumberFormat="1" applyFont="1" applyFill="1" applyAlignment="1" applyProtection="1">
      <alignment horizontal="center" vertical="center"/>
      <protection hidden="1"/>
    </xf>
    <xf numFmtId="0" fontId="47" fillId="45" borderId="162" xfId="108" applyFont="1" applyFill="1" applyBorder="1" applyAlignment="1" applyProtection="1">
      <alignment horizontal="center"/>
      <protection hidden="1"/>
    </xf>
    <xf numFmtId="165" fontId="47" fillId="51" borderId="225" xfId="108" applyNumberFormat="1" applyFill="1" applyBorder="1" applyAlignment="1" applyProtection="1">
      <alignment horizontal="center"/>
      <protection hidden="1"/>
    </xf>
    <xf numFmtId="165" fontId="47" fillId="51" borderId="212" xfId="108" applyNumberFormat="1" applyFill="1" applyBorder="1" applyAlignment="1" applyProtection="1">
      <alignment horizontal="center"/>
      <protection hidden="1"/>
    </xf>
    <xf numFmtId="165" fontId="47" fillId="45" borderId="162" xfId="108" applyNumberFormat="1" applyFill="1" applyBorder="1" applyAlignment="1" applyProtection="1">
      <alignment horizontal="center"/>
      <protection hidden="1"/>
    </xf>
    <xf numFmtId="165" fontId="47" fillId="45" borderId="164" xfId="108" applyNumberFormat="1" applyFill="1" applyBorder="1" applyAlignment="1" applyProtection="1">
      <alignment horizontal="center"/>
      <protection hidden="1"/>
    </xf>
    <xf numFmtId="165" fontId="47" fillId="51" borderId="162" xfId="108" applyNumberFormat="1" applyFill="1" applyBorder="1" applyAlignment="1" applyProtection="1">
      <alignment horizontal="center"/>
      <protection hidden="1"/>
    </xf>
    <xf numFmtId="165" fontId="47" fillId="51" borderId="164" xfId="108" applyNumberFormat="1" applyFill="1" applyBorder="1" applyAlignment="1" applyProtection="1">
      <alignment horizontal="center"/>
      <protection hidden="1"/>
    </xf>
    <xf numFmtId="0" fontId="176" fillId="42" borderId="0" xfId="0" applyFont="1" applyFill="1" applyAlignment="1" applyProtection="1">
      <alignment horizontal="left"/>
      <protection hidden="1"/>
    </xf>
    <xf numFmtId="0" fontId="47" fillId="42" borderId="0" xfId="67" applyFont="1" applyFill="1" applyAlignment="1" applyProtection="1">
      <alignment horizontal="left"/>
      <protection hidden="1"/>
    </xf>
    <xf numFmtId="0" fontId="59" fillId="53" borderId="0" xfId="67" applyFont="1" applyFill="1" applyAlignment="1" applyProtection="1">
      <alignment horizontal="left"/>
      <protection hidden="1"/>
    </xf>
    <xf numFmtId="0" fontId="47" fillId="45" borderId="0" xfId="0" applyFont="1" applyFill="1" applyAlignment="1" applyProtection="1">
      <alignment horizontal="left"/>
      <protection hidden="1"/>
    </xf>
    <xf numFmtId="0" fontId="60" fillId="0" borderId="16" xfId="63" applyFont="1" applyBorder="1" applyAlignment="1" applyProtection="1">
      <alignment horizontal="center"/>
      <protection hidden="1"/>
    </xf>
    <xf numFmtId="0" fontId="150" fillId="0" borderId="13" xfId="63" applyFont="1" applyBorder="1" applyAlignment="1" applyProtection="1">
      <alignment horizontal="center"/>
      <protection hidden="1"/>
    </xf>
    <xf numFmtId="0" fontId="47" fillId="0" borderId="10" xfId="63" applyFont="1" applyBorder="1" applyProtection="1">
      <protection hidden="1"/>
    </xf>
    <xf numFmtId="0" fontId="240" fillId="42" borderId="12" xfId="63" applyFont="1" applyFill="1" applyBorder="1" applyAlignment="1" applyProtection="1">
      <alignment horizontal="center"/>
      <protection hidden="1"/>
    </xf>
    <xf numFmtId="0" fontId="248" fillId="42" borderId="20" xfId="63" applyFont="1" applyFill="1" applyBorder="1" applyAlignment="1" applyProtection="1">
      <alignment horizontal="center"/>
      <protection hidden="1"/>
    </xf>
    <xf numFmtId="0" fontId="247" fillId="42" borderId="175" xfId="67" applyFont="1" applyFill="1" applyBorder="1" applyAlignment="1" applyProtection="1">
      <alignment horizontal="center"/>
      <protection hidden="1"/>
    </xf>
    <xf numFmtId="0" fontId="247" fillId="42" borderId="96" xfId="67" applyFont="1" applyFill="1" applyBorder="1" applyAlignment="1" applyProtection="1">
      <alignment horizontal="center"/>
      <protection hidden="1"/>
    </xf>
    <xf numFmtId="0" fontId="247" fillId="42" borderId="176" xfId="67" applyFont="1" applyFill="1" applyBorder="1" applyAlignment="1" applyProtection="1">
      <alignment horizontal="center"/>
      <protection hidden="1"/>
    </xf>
    <xf numFmtId="0" fontId="47" fillId="35" borderId="175" xfId="0" applyFont="1" applyFill="1" applyBorder="1" applyAlignment="1" applyProtection="1">
      <protection hidden="1"/>
    </xf>
    <xf numFmtId="0" fontId="47" fillId="35" borderId="96" xfId="0" applyFont="1" applyFill="1" applyBorder="1" applyAlignment="1" applyProtection="1">
      <protection hidden="1"/>
    </xf>
    <xf numFmtId="0" fontId="184" fillId="35" borderId="96" xfId="0" applyFont="1" applyFill="1" applyBorder="1" applyAlignment="1" applyProtection="1">
      <protection hidden="1"/>
    </xf>
    <xf numFmtId="0" fontId="192" fillId="42" borderId="10" xfId="63" applyFont="1" applyFill="1" applyBorder="1" applyAlignment="1" applyProtection="1">
      <alignment horizontal="center"/>
      <protection hidden="1"/>
    </xf>
    <xf numFmtId="0" fontId="247" fillId="42" borderId="173" xfId="67" applyFont="1" applyFill="1" applyBorder="1" applyAlignment="1" applyProtection="1">
      <alignment horizontal="center" wrapText="1"/>
      <protection hidden="1"/>
    </xf>
    <xf numFmtId="0" fontId="0" fillId="0" borderId="138" xfId="0" applyBorder="1" applyProtection="1">
      <protection hidden="1"/>
    </xf>
    <xf numFmtId="0" fontId="0" fillId="0" borderId="140" xfId="0" applyBorder="1" applyProtection="1">
      <protection hidden="1"/>
    </xf>
    <xf numFmtId="0" fontId="27" fillId="42" borderId="167" xfId="0" applyFont="1" applyFill="1" applyBorder="1" applyAlignment="1" applyProtection="1">
      <protection hidden="1"/>
    </xf>
    <xf numFmtId="0" fontId="276" fillId="42" borderId="0" xfId="67" applyFont="1" applyFill="1" applyBorder="1" applyAlignment="1" applyProtection="1">
      <alignment horizontal="left"/>
      <protection hidden="1"/>
    </xf>
    <xf numFmtId="0" fontId="52" fillId="0" borderId="16" xfId="46" applyFont="1" applyBorder="1" applyAlignment="1" applyProtection="1">
      <alignment horizontal="center" vertical="top" wrapText="1"/>
      <protection hidden="1"/>
    </xf>
    <xf numFmtId="1" fontId="60" fillId="42" borderId="169" xfId="67" applyNumberFormat="1" applyFont="1" applyFill="1" applyBorder="1" applyAlignment="1" applyProtection="1">
      <alignment horizontal="left"/>
      <protection hidden="1"/>
    </xf>
    <xf numFmtId="0" fontId="27" fillId="42" borderId="183" xfId="0" applyFont="1" applyFill="1" applyBorder="1" applyAlignment="1" applyProtection="1">
      <protection hidden="1"/>
    </xf>
    <xf numFmtId="0" fontId="251" fillId="0" borderId="184" xfId="0" applyFont="1" applyBorder="1" applyAlignment="1" applyProtection="1">
      <protection hidden="1"/>
    </xf>
    <xf numFmtId="0" fontId="59" fillId="51" borderId="0" xfId="0" applyFont="1" applyFill="1" applyAlignment="1" applyProtection="1">
      <alignment horizontal="left"/>
      <protection hidden="1"/>
    </xf>
    <xf numFmtId="0" fontId="47" fillId="42" borderId="225" xfId="108" applyFont="1" applyFill="1" applyBorder="1" applyAlignment="1" applyProtection="1">
      <alignment horizontal="center"/>
      <protection hidden="1"/>
    </xf>
    <xf numFmtId="0" fontId="0" fillId="0" borderId="225" xfId="0" applyBorder="1" applyProtection="1">
      <protection hidden="1"/>
    </xf>
    <xf numFmtId="164" fontId="267" fillId="42" borderId="15" xfId="67" applyNumberFormat="1" applyFont="1" applyFill="1" applyBorder="1" applyAlignment="1" applyProtection="1">
      <alignment horizontal="center"/>
      <protection hidden="1"/>
    </xf>
    <xf numFmtId="164" fontId="267" fillId="42" borderId="16" xfId="67" applyNumberFormat="1" applyFont="1" applyFill="1" applyBorder="1" applyAlignment="1" applyProtection="1">
      <alignment horizontal="center"/>
      <protection hidden="1"/>
    </xf>
    <xf numFmtId="164" fontId="271" fillId="42" borderId="13" xfId="67" applyNumberFormat="1" applyFont="1" applyFill="1" applyBorder="1" applyAlignment="1" applyProtection="1">
      <alignment horizontal="center"/>
      <protection hidden="1"/>
    </xf>
    <xf numFmtId="164" fontId="245" fillId="42" borderId="16" xfId="67" applyNumberFormat="1" applyFont="1" applyFill="1" applyBorder="1" applyAlignment="1" applyProtection="1">
      <alignment horizontal="center"/>
      <protection hidden="1"/>
    </xf>
    <xf numFmtId="0" fontId="47" fillId="42" borderId="17" xfId="63" applyFont="1" applyFill="1" applyBorder="1" applyAlignment="1" applyProtection="1">
      <alignment horizontal="left"/>
      <protection hidden="1"/>
    </xf>
    <xf numFmtId="167" fontId="267" fillId="42" borderId="22" xfId="67" applyNumberFormat="1" applyFont="1" applyFill="1" applyBorder="1" applyAlignment="1" applyProtection="1">
      <alignment horizontal="left"/>
      <protection hidden="1"/>
    </xf>
    <xf numFmtId="167" fontId="249" fillId="42" borderId="22" xfId="67" applyNumberFormat="1" applyFont="1" applyFill="1" applyBorder="1" applyAlignment="1" applyProtection="1">
      <alignment horizontal="left"/>
      <protection hidden="1"/>
    </xf>
    <xf numFmtId="167" fontId="245" fillId="42" borderId="19" xfId="67" applyNumberFormat="1" applyFont="1" applyFill="1" applyBorder="1" applyAlignment="1" applyProtection="1">
      <alignment horizontal="left"/>
      <protection hidden="1"/>
    </xf>
    <xf numFmtId="2" fontId="245" fillId="42" borderId="196" xfId="67" applyNumberFormat="1" applyFont="1" applyFill="1" applyBorder="1" applyAlignment="1" applyProtection="1">
      <alignment horizontal="center" vertical="top" wrapText="1"/>
      <protection hidden="1"/>
    </xf>
    <xf numFmtId="0" fontId="0" fillId="0" borderId="197" xfId="0" applyBorder="1" applyProtection="1">
      <protection hidden="1"/>
    </xf>
    <xf numFmtId="0" fontId="0" fillId="0" borderId="198" xfId="0" applyBorder="1" applyProtection="1">
      <protection hidden="1"/>
    </xf>
    <xf numFmtId="0" fontId="0" fillId="0" borderId="167" xfId="0" applyBorder="1" applyProtection="1">
      <protection hidden="1"/>
    </xf>
    <xf numFmtId="0" fontId="0" fillId="0" borderId="0" xfId="0" applyProtection="1">
      <protection hidden="1"/>
    </xf>
    <xf numFmtId="0" fontId="0" fillId="0" borderId="250" xfId="0" applyBorder="1" applyProtection="1">
      <protection hidden="1"/>
    </xf>
    <xf numFmtId="0" fontId="0" fillId="0" borderId="175" xfId="0" applyBorder="1" applyProtection="1">
      <protection hidden="1"/>
    </xf>
    <xf numFmtId="0" fontId="0" fillId="0" borderId="96" xfId="0" applyBorder="1" applyProtection="1">
      <protection hidden="1"/>
    </xf>
    <xf numFmtId="0" fontId="0" fillId="0" borderId="176" xfId="0" applyBorder="1" applyProtection="1">
      <protection hidden="1"/>
    </xf>
    <xf numFmtId="0" fontId="11" fillId="35" borderId="0" xfId="0" applyFont="1" applyFill="1" applyAlignment="1" applyProtection="1">
      <alignment horizontal="left" vertical="top" wrapText="1"/>
      <protection hidden="1"/>
    </xf>
    <xf numFmtId="0" fontId="180" fillId="35" borderId="0" xfId="67" applyFont="1" applyFill="1" applyProtection="1">
      <protection hidden="1"/>
    </xf>
    <xf numFmtId="0" fontId="195" fillId="45" borderId="0" xfId="0" applyFont="1" applyFill="1" applyProtection="1">
      <protection hidden="1"/>
    </xf>
    <xf numFmtId="0" fontId="195" fillId="42" borderId="0" xfId="67" applyFont="1" applyFill="1" applyAlignment="1" applyProtection="1">
      <alignment horizontal="right"/>
      <protection hidden="1"/>
    </xf>
    <xf numFmtId="0" fontId="47" fillId="42" borderId="21" xfId="67" applyFont="1" applyFill="1" applyBorder="1" applyProtection="1">
      <protection hidden="1"/>
    </xf>
    <xf numFmtId="0" fontId="47" fillId="42" borderId="17" xfId="67" applyFont="1" applyFill="1" applyBorder="1" applyProtection="1">
      <protection hidden="1"/>
    </xf>
    <xf numFmtId="0" fontId="47" fillId="42" borderId="10" xfId="67" applyFont="1" applyFill="1" applyBorder="1" applyProtection="1">
      <protection hidden="1"/>
    </xf>
    <xf numFmtId="0" fontId="52" fillId="0" borderId="162" xfId="46" applyFont="1" applyBorder="1" applyAlignment="1" applyProtection="1">
      <alignment horizontal="left"/>
      <protection hidden="1"/>
    </xf>
    <xf numFmtId="0" fontId="52" fillId="0" borderId="163" xfId="46" applyFont="1" applyBorder="1" applyAlignment="1" applyProtection="1">
      <alignment horizontal="left"/>
      <protection hidden="1"/>
    </xf>
    <xf numFmtId="0" fontId="171" fillId="42" borderId="22" xfId="63" applyFont="1" applyFill="1" applyBorder="1" applyProtection="1">
      <protection hidden="1"/>
    </xf>
    <xf numFmtId="0" fontId="171" fillId="42" borderId="19" xfId="63" applyFont="1" applyFill="1" applyBorder="1" applyProtection="1">
      <protection hidden="1"/>
    </xf>
    <xf numFmtId="0" fontId="85" fillId="42" borderId="19" xfId="63" applyFont="1" applyFill="1" applyBorder="1" applyProtection="1">
      <protection hidden="1"/>
    </xf>
    <xf numFmtId="0" fontId="85" fillId="42" borderId="24" xfId="63" applyFont="1" applyFill="1" applyBorder="1" applyProtection="1">
      <protection hidden="1"/>
    </xf>
    <xf numFmtId="0" fontId="60" fillId="0" borderId="0" xfId="63" applyFont="1" applyAlignment="1" applyProtection="1">
      <alignment horizontal="center"/>
      <protection hidden="1"/>
    </xf>
    <xf numFmtId="0" fontId="52" fillId="0" borderId="20" xfId="46" applyFont="1" applyBorder="1" applyAlignment="1" applyProtection="1">
      <alignment horizontal="left"/>
      <protection hidden="1"/>
    </xf>
    <xf numFmtId="0" fontId="52" fillId="0" borderId="23" xfId="46" applyFont="1" applyBorder="1" applyAlignment="1" applyProtection="1">
      <alignment horizontal="left"/>
      <protection hidden="1"/>
    </xf>
    <xf numFmtId="0" fontId="47" fillId="0" borderId="165" xfId="67" applyFont="1" applyBorder="1" applyAlignment="1" applyProtection="1">
      <alignment horizontal="center"/>
      <protection hidden="1"/>
    </xf>
    <xf numFmtId="0" fontId="47" fillId="0" borderId="0" xfId="0" applyFont="1" applyAlignment="1" applyProtection="1">
      <alignment horizontal="center" wrapText="1"/>
      <protection hidden="1"/>
    </xf>
    <xf numFmtId="0" fontId="47" fillId="0" borderId="13" xfId="63" applyFont="1" applyBorder="1" applyProtection="1">
      <protection hidden="1"/>
    </xf>
    <xf numFmtId="0" fontId="18" fillId="0" borderId="15" xfId="67" applyFont="1" applyBorder="1" applyProtection="1">
      <protection hidden="1"/>
    </xf>
    <xf numFmtId="2" fontId="47" fillId="0" borderId="17" xfId="67" applyNumberFormat="1" applyFont="1" applyBorder="1" applyAlignment="1" applyProtection="1">
      <alignment horizontal="left" wrapText="1"/>
      <protection hidden="1"/>
    </xf>
    <xf numFmtId="0" fontId="47" fillId="0" borderId="18" xfId="67" applyFont="1" applyBorder="1" applyProtection="1">
      <protection hidden="1"/>
    </xf>
    <xf numFmtId="0" fontId="162" fillId="0" borderId="0" xfId="67" applyFont="1" applyProtection="1">
      <protection hidden="1"/>
    </xf>
    <xf numFmtId="0" fontId="47" fillId="0" borderId="96" xfId="67" applyFont="1" applyBorder="1" applyAlignment="1" applyProtection="1">
      <alignment horizontal="left"/>
      <protection hidden="1"/>
    </xf>
    <xf numFmtId="0" fontId="18" fillId="42" borderId="0" xfId="67" applyFont="1" applyFill="1" applyAlignment="1" applyProtection="1">
      <alignment horizontal="left"/>
      <protection hidden="1"/>
    </xf>
    <xf numFmtId="0" fontId="195" fillId="42" borderId="0" xfId="63" applyFont="1" applyFill="1" applyAlignment="1" applyProtection="1">
      <alignment horizontal="right"/>
      <protection hidden="1"/>
    </xf>
    <xf numFmtId="0" fontId="146" fillId="42" borderId="0" xfId="104" applyFont="1" applyFill="1" applyAlignment="1" applyProtection="1">
      <alignment horizontal="left"/>
      <protection hidden="1"/>
    </xf>
    <xf numFmtId="0" fontId="52" fillId="35" borderId="0" xfId="46" applyFont="1" applyFill="1" applyAlignment="1" applyProtection="1">
      <protection hidden="1"/>
    </xf>
    <xf numFmtId="0" fontId="85" fillId="0" borderId="24" xfId="63" applyFont="1" applyBorder="1" applyProtection="1">
      <protection hidden="1"/>
    </xf>
    <xf numFmtId="0" fontId="85" fillId="0" borderId="140" xfId="63" applyFont="1" applyBorder="1" applyProtection="1">
      <protection hidden="1"/>
    </xf>
    <xf numFmtId="0" fontId="85" fillId="0" borderId="18" xfId="63" applyFont="1" applyBorder="1" applyProtection="1">
      <protection hidden="1"/>
    </xf>
    <xf numFmtId="0" fontId="47" fillId="0" borderId="17" xfId="67" applyFont="1" applyBorder="1" applyAlignment="1" applyProtection="1">
      <alignment horizontal="center"/>
      <protection hidden="1"/>
    </xf>
    <xf numFmtId="1" fontId="11" fillId="0" borderId="16" xfId="63" applyNumberFormat="1" applyFont="1" applyBorder="1" applyProtection="1">
      <protection hidden="1"/>
    </xf>
    <xf numFmtId="0" fontId="47" fillId="0" borderId="16" xfId="63" applyFont="1" applyBorder="1" applyAlignment="1" applyProtection="1">
      <alignment horizontal="left"/>
      <protection hidden="1"/>
    </xf>
    <xf numFmtId="0" fontId="11" fillId="0" borderId="20" xfId="0" applyFont="1" applyBorder="1" applyProtection="1">
      <protection hidden="1"/>
    </xf>
    <xf numFmtId="0" fontId="11" fillId="0" borderId="23" xfId="0" applyFont="1" applyBorder="1" applyProtection="1">
      <protection hidden="1"/>
    </xf>
    <xf numFmtId="0" fontId="47" fillId="35" borderId="10" xfId="0" applyFont="1" applyFill="1" applyBorder="1" applyProtection="1">
      <protection hidden="1"/>
    </xf>
    <xf numFmtId="0" fontId="47" fillId="35" borderId="24" xfId="0" applyFont="1" applyFill="1" applyBorder="1" applyProtection="1">
      <protection hidden="1"/>
    </xf>
    <xf numFmtId="0" fontId="11" fillId="0" borderId="13" xfId="0" applyFont="1" applyBorder="1" applyProtection="1">
      <protection hidden="1"/>
    </xf>
    <xf numFmtId="0" fontId="11" fillId="0" borderId="15" xfId="0" applyFont="1" applyBorder="1" applyProtection="1">
      <protection hidden="1"/>
    </xf>
    <xf numFmtId="0" fontId="277" fillId="0" borderId="196" xfId="0" applyFont="1" applyBorder="1" applyAlignment="1" applyProtection="1">
      <alignment horizontal="center" vertical="center" wrapText="1"/>
      <protection hidden="1"/>
    </xf>
    <xf numFmtId="0" fontId="277" fillId="0" borderId="198" xfId="0" applyFont="1" applyBorder="1" applyAlignment="1" applyProtection="1">
      <alignment horizontal="center" vertical="center" wrapText="1"/>
      <protection hidden="1"/>
    </xf>
    <xf numFmtId="0" fontId="277" fillId="0" borderId="175" xfId="0" applyFont="1" applyBorder="1" applyAlignment="1" applyProtection="1">
      <alignment horizontal="center" vertical="center" wrapText="1"/>
      <protection hidden="1"/>
    </xf>
    <xf numFmtId="0" fontId="277" fillId="0" borderId="176" xfId="0" applyFont="1" applyBorder="1" applyAlignment="1" applyProtection="1">
      <alignment horizontal="center" vertical="center" wrapText="1"/>
      <protection hidden="1"/>
    </xf>
    <xf numFmtId="0" fontId="279" fillId="0" borderId="196" xfId="0" applyFont="1" applyBorder="1" applyAlignment="1" applyProtection="1">
      <alignment horizontal="center" vertical="center" wrapText="1"/>
      <protection hidden="1"/>
    </xf>
    <xf numFmtId="0" fontId="279" fillId="0" borderId="198" xfId="0" applyFont="1" applyBorder="1" applyAlignment="1" applyProtection="1">
      <alignment horizontal="center" vertical="center" wrapText="1"/>
      <protection hidden="1"/>
    </xf>
    <xf numFmtId="0" fontId="279" fillId="0" borderId="175" xfId="0" applyFont="1" applyBorder="1" applyAlignment="1" applyProtection="1">
      <alignment horizontal="center" vertical="center" wrapText="1"/>
      <protection hidden="1"/>
    </xf>
    <xf numFmtId="0" fontId="279" fillId="0" borderId="176" xfId="0" applyFont="1" applyBorder="1" applyAlignment="1" applyProtection="1">
      <alignment horizontal="center" vertical="center" wrapText="1"/>
      <protection hidden="1"/>
    </xf>
    <xf numFmtId="0" fontId="281" fillId="0" borderId="198" xfId="67" applyFont="1" applyBorder="1" applyAlignment="1" applyProtection="1">
      <alignment horizontal="center" vertical="center" wrapText="1"/>
      <protection hidden="1"/>
    </xf>
    <xf numFmtId="0" fontId="281" fillId="0" borderId="175" xfId="67" applyFont="1" applyBorder="1" applyAlignment="1" applyProtection="1">
      <alignment horizontal="center" vertical="center" wrapText="1"/>
      <protection hidden="1"/>
    </xf>
    <xf numFmtId="0" fontId="281" fillId="0" borderId="176" xfId="67" applyFont="1" applyBorder="1" applyAlignment="1" applyProtection="1">
      <alignment horizontal="center" vertical="center" wrapText="1"/>
      <protection hidden="1"/>
    </xf>
    <xf numFmtId="0" fontId="3" fillId="0" borderId="49" xfId="0" applyFont="1" applyFill="1" applyBorder="1" applyAlignment="1" applyProtection="1">
      <alignment horizontal="left"/>
      <protection hidden="1"/>
    </xf>
    <xf numFmtId="0" fontId="3" fillId="0" borderId="66" xfId="69" applyFont="1" applyFill="1" applyBorder="1" applyAlignment="1" applyProtection="1">
      <alignment horizontal="left"/>
      <protection hidden="1"/>
    </xf>
    <xf numFmtId="0" fontId="47" fillId="0" borderId="66" xfId="0" applyFont="1" applyFill="1" applyBorder="1" applyAlignment="1" applyProtection="1">
      <alignment horizontal="left"/>
      <protection hidden="1"/>
    </xf>
    <xf numFmtId="0" fontId="47" fillId="0" borderId="203" xfId="0" applyFont="1" applyFill="1" applyBorder="1" applyAlignment="1" applyProtection="1">
      <alignment horizontal="left"/>
      <protection hidden="1"/>
    </xf>
    <xf numFmtId="0" fontId="3" fillId="0" borderId="66" xfId="69" applyFont="1" applyBorder="1" applyAlignment="1" applyProtection="1">
      <alignment horizontal="left"/>
      <protection hidden="1"/>
    </xf>
    <xf numFmtId="0" fontId="3" fillId="0" borderId="51" xfId="69" applyFont="1" applyBorder="1" applyAlignment="1" applyProtection="1">
      <alignment horizontal="left"/>
      <protection hidden="1"/>
    </xf>
    <xf numFmtId="0" fontId="52" fillId="0" borderId="51" xfId="46" applyFont="1" applyBorder="1" applyAlignment="1" applyProtection="1">
      <alignment horizontal="left"/>
      <protection hidden="1"/>
    </xf>
    <xf numFmtId="0" fontId="47" fillId="0" borderId="16" xfId="63" applyFont="1" applyBorder="1" applyProtection="1">
      <protection hidden="1"/>
    </xf>
    <xf numFmtId="0" fontId="47" fillId="0" borderId="21" xfId="0" applyFont="1" applyBorder="1" applyProtection="1">
      <protection hidden="1"/>
    </xf>
    <xf numFmtId="0" fontId="47" fillId="0" borderId="19" xfId="0" applyFont="1" applyBorder="1" applyProtection="1">
      <protection hidden="1"/>
    </xf>
    <xf numFmtId="2" fontId="59" fillId="51" borderId="0" xfId="63" applyNumberFormat="1" applyFont="1" applyFill="1" applyProtection="1">
      <protection hidden="1"/>
    </xf>
    <xf numFmtId="2" fontId="40" fillId="51" borderId="0" xfId="67" applyNumberFormat="1" applyFont="1" applyFill="1" applyAlignment="1" applyProtection="1">
      <alignment horizontal="left"/>
      <protection hidden="1"/>
    </xf>
    <xf numFmtId="0" fontId="47" fillId="0" borderId="227" xfId="67" applyFont="1" applyBorder="1" applyAlignment="1" applyProtection="1">
      <alignment horizontal="right" wrapText="1"/>
      <protection hidden="1"/>
    </xf>
    <xf numFmtId="0" fontId="47" fillId="0" borderId="80" xfId="67" applyFont="1" applyBorder="1" applyAlignment="1" applyProtection="1">
      <alignment horizontal="right" wrapText="1"/>
      <protection hidden="1"/>
    </xf>
    <xf numFmtId="0" fontId="47" fillId="0" borderId="75" xfId="67" applyFont="1" applyBorder="1" applyAlignment="1" applyProtection="1">
      <alignment horizontal="right" wrapText="1"/>
      <protection hidden="1"/>
    </xf>
    <xf numFmtId="0" fontId="47" fillId="0" borderId="73" xfId="67" applyFont="1" applyBorder="1" applyAlignment="1" applyProtection="1">
      <alignment horizontal="right" wrapText="1"/>
      <protection hidden="1"/>
    </xf>
    <xf numFmtId="0" fontId="47" fillId="0" borderId="74" xfId="67" applyFont="1" applyBorder="1" applyAlignment="1" applyProtection="1">
      <alignment horizontal="right" wrapText="1"/>
      <protection hidden="1"/>
    </xf>
    <xf numFmtId="0" fontId="3" fillId="0" borderId="205" xfId="69" applyFont="1" applyFill="1" applyBorder="1" applyAlignment="1" applyProtection="1">
      <alignment horizontal="left"/>
      <protection hidden="1"/>
    </xf>
    <xf numFmtId="0" fontId="3" fillId="0" borderId="242" xfId="69" applyFont="1" applyFill="1" applyBorder="1" applyAlignment="1" applyProtection="1">
      <alignment horizontal="left"/>
      <protection hidden="1"/>
    </xf>
    <xf numFmtId="0" fontId="3" fillId="0" borderId="65" xfId="69" applyFont="1" applyFill="1" applyBorder="1" applyAlignment="1" applyProtection="1">
      <alignment horizontal="left"/>
      <protection hidden="1"/>
    </xf>
    <xf numFmtId="0" fontId="47" fillId="42" borderId="18" xfId="67" applyFont="1" applyFill="1" applyBorder="1" applyProtection="1">
      <protection hidden="1"/>
    </xf>
    <xf numFmtId="0" fontId="47" fillId="42" borderId="138" xfId="67" applyFont="1" applyFill="1" applyBorder="1" applyProtection="1">
      <protection hidden="1"/>
    </xf>
    <xf numFmtId="0" fontId="30" fillId="42" borderId="10" xfId="63" applyFont="1" applyFill="1" applyBorder="1" applyAlignment="1" applyProtection="1">
      <alignment horizontal="center"/>
      <protection hidden="1"/>
    </xf>
    <xf numFmtId="0" fontId="30" fillId="42" borderId="18" xfId="63" applyFont="1" applyFill="1" applyBorder="1" applyAlignment="1" applyProtection="1">
      <alignment horizontal="center"/>
      <protection hidden="1"/>
    </xf>
    <xf numFmtId="0" fontId="30" fillId="42" borderId="24" xfId="63" applyFont="1" applyFill="1" applyBorder="1" applyAlignment="1" applyProtection="1">
      <alignment horizontal="center"/>
      <protection hidden="1"/>
    </xf>
    <xf numFmtId="0" fontId="246" fillId="42" borderId="88" xfId="63" applyFont="1" applyFill="1" applyBorder="1" applyAlignment="1" applyProtection="1">
      <alignment horizontal="center"/>
      <protection hidden="1"/>
    </xf>
    <xf numFmtId="0" fontId="246" fillId="42" borderId="18" xfId="63" applyFont="1" applyFill="1" applyBorder="1" applyAlignment="1" applyProtection="1">
      <alignment horizontal="center"/>
      <protection hidden="1"/>
    </xf>
    <xf numFmtId="0" fontId="246" fillId="42" borderId="90" xfId="63" applyFont="1" applyFill="1" applyBorder="1" applyAlignment="1" applyProtection="1">
      <alignment horizontal="center"/>
      <protection hidden="1"/>
    </xf>
    <xf numFmtId="0" fontId="152" fillId="42" borderId="0" xfId="63" applyFont="1" applyFill="1" applyAlignment="1" applyProtection="1">
      <alignment horizontal="center"/>
      <protection hidden="1"/>
    </xf>
    <xf numFmtId="0" fontId="176" fillId="42" borderId="0" xfId="67" applyFont="1" applyFill="1" applyAlignment="1" applyProtection="1">
      <alignment horizontal="right"/>
      <protection hidden="1"/>
    </xf>
    <xf numFmtId="0" fontId="47" fillId="35" borderId="0" xfId="0" applyFont="1" applyFill="1" applyAlignment="1" applyProtection="1">
      <alignment horizontal="right"/>
      <protection hidden="1"/>
    </xf>
    <xf numFmtId="164" fontId="47" fillId="43" borderId="65" xfId="67" applyNumberFormat="1" applyFont="1" applyFill="1" applyBorder="1" applyAlignment="1" applyProtection="1">
      <alignment horizontal="left"/>
      <protection hidden="1"/>
    </xf>
    <xf numFmtId="164" fontId="47" fillId="43" borderId="66" xfId="67" applyNumberFormat="1" applyFont="1" applyFill="1" applyBorder="1" applyAlignment="1" applyProtection="1">
      <alignment horizontal="left"/>
      <protection hidden="1"/>
    </xf>
    <xf numFmtId="0" fontId="185" fillId="42" borderId="13" xfId="67" applyFont="1" applyFill="1" applyBorder="1" applyAlignment="1" applyProtection="1">
      <alignment horizontal="right"/>
      <protection hidden="1"/>
    </xf>
    <xf numFmtId="0" fontId="185" fillId="42" borderId="0" xfId="67" applyFont="1" applyFill="1" applyBorder="1" applyAlignment="1" applyProtection="1">
      <alignment horizontal="right"/>
      <protection hidden="1"/>
    </xf>
    <xf numFmtId="0" fontId="185" fillId="42" borderId="0" xfId="67" applyFont="1" applyFill="1" applyBorder="1" applyAlignment="1" applyProtection="1">
      <alignment horizontal="left"/>
      <protection hidden="1"/>
    </xf>
    <xf numFmtId="0" fontId="66" fillId="42" borderId="0" xfId="67" applyFont="1" applyFill="1" applyBorder="1" applyAlignment="1" applyProtection="1">
      <protection hidden="1"/>
    </xf>
    <xf numFmtId="0" fontId="236" fillId="42" borderId="0" xfId="67" applyFont="1" applyFill="1" applyBorder="1" applyAlignment="1" applyProtection="1">
      <alignment horizontal="left"/>
      <protection hidden="1"/>
    </xf>
    <xf numFmtId="0" fontId="238" fillId="0" borderId="15" xfId="0" applyFont="1" applyBorder="1" applyProtection="1">
      <protection hidden="1"/>
    </xf>
    <xf numFmtId="0" fontId="11" fillId="42" borderId="91" xfId="63" applyFont="1" applyFill="1" applyBorder="1" applyAlignment="1" applyProtection="1">
      <alignment wrapText="1"/>
      <protection hidden="1"/>
    </xf>
    <xf numFmtId="0" fontId="59" fillId="42" borderId="21" xfId="63" applyFont="1" applyFill="1" applyBorder="1" applyAlignment="1" applyProtection="1">
      <alignment horizontal="right"/>
      <protection hidden="1"/>
    </xf>
    <xf numFmtId="0" fontId="59" fillId="42" borderId="162" xfId="63" applyFont="1" applyFill="1" applyBorder="1" applyAlignment="1" applyProtection="1">
      <alignment horizontal="right"/>
      <protection hidden="1"/>
    </xf>
    <xf numFmtId="0" fontId="87" fillId="37" borderId="22" xfId="0" applyFont="1" applyFill="1" applyBorder="1" applyProtection="1">
      <protection locked="0"/>
    </xf>
    <xf numFmtId="0" fontId="87" fillId="37" borderId="19" xfId="0" applyFont="1" applyFill="1" applyBorder="1" applyProtection="1">
      <protection locked="0"/>
    </xf>
    <xf numFmtId="0" fontId="157" fillId="42" borderId="17" xfId="67" applyFont="1" applyFill="1" applyBorder="1" applyAlignment="1" applyProtection="1">
      <alignment horizontal="left" wrapText="1"/>
      <protection hidden="1"/>
    </xf>
    <xf numFmtId="0" fontId="157" fillId="42" borderId="19" xfId="67" applyFont="1" applyFill="1" applyBorder="1" applyAlignment="1" applyProtection="1">
      <alignment horizontal="left" wrapText="1"/>
      <protection hidden="1"/>
    </xf>
    <xf numFmtId="0" fontId="47" fillId="42" borderId="13" xfId="67" applyFont="1" applyFill="1" applyBorder="1" applyAlignment="1" applyProtection="1">
      <protection hidden="1"/>
    </xf>
    <xf numFmtId="0" fontId="52" fillId="51" borderId="0" xfId="46" applyFont="1" applyFill="1" applyAlignment="1" applyProtection="1">
      <alignment horizontal="left"/>
      <protection hidden="1"/>
    </xf>
    <xf numFmtId="0" fontId="47" fillId="35" borderId="63" xfId="0" applyFont="1" applyFill="1" applyBorder="1" applyAlignment="1" applyProtection="1">
      <protection hidden="1"/>
    </xf>
    <xf numFmtId="0" fontId="47" fillId="35" borderId="64" xfId="0" applyFont="1" applyFill="1" applyBorder="1" applyAlignment="1" applyProtection="1">
      <protection hidden="1"/>
    </xf>
    <xf numFmtId="164" fontId="47" fillId="42" borderId="20" xfId="67" applyNumberFormat="1" applyFont="1" applyFill="1" applyBorder="1" applyAlignment="1" applyProtection="1">
      <alignment horizontal="left"/>
      <protection hidden="1"/>
    </xf>
    <xf numFmtId="0" fontId="176" fillId="42" borderId="0" xfId="0" applyFont="1" applyFill="1" applyAlignment="1" applyProtection="1">
      <alignment horizontal="right"/>
      <protection hidden="1"/>
    </xf>
    <xf numFmtId="0" fontId="47" fillId="42" borderId="0" xfId="63" applyFont="1" applyFill="1" applyAlignment="1" applyProtection="1">
      <alignment vertical="center"/>
      <protection hidden="1"/>
    </xf>
    <xf numFmtId="0" fontId="13" fillId="42" borderId="67" xfId="67" applyFont="1" applyFill="1" applyBorder="1" applyAlignment="1" applyProtection="1">
      <protection hidden="1"/>
    </xf>
    <xf numFmtId="164" fontId="13" fillId="35" borderId="234" xfId="84" applyNumberFormat="1" applyFont="1" applyFill="1" applyBorder="1" applyAlignment="1" applyProtection="1">
      <alignment horizontal="left"/>
      <protection hidden="1"/>
    </xf>
    <xf numFmtId="164" fontId="13" fillId="35" borderId="68" xfId="84" applyNumberFormat="1" applyFont="1" applyFill="1" applyBorder="1" applyAlignment="1" applyProtection="1">
      <alignment horizontal="left"/>
      <protection hidden="1"/>
    </xf>
    <xf numFmtId="164" fontId="47" fillId="42" borderId="13" xfId="67" applyNumberFormat="1" applyFont="1" applyFill="1" applyBorder="1" applyAlignment="1" applyProtection="1">
      <alignment horizontal="left"/>
      <protection hidden="1"/>
    </xf>
    <xf numFmtId="0" fontId="85" fillId="42" borderId="246" xfId="0" applyFont="1" applyFill="1" applyBorder="1" applyAlignment="1" applyProtection="1">
      <protection hidden="1"/>
    </xf>
    <xf numFmtId="0" fontId="270" fillId="42" borderId="247" xfId="67" applyFont="1" applyFill="1" applyBorder="1" applyAlignment="1" applyProtection="1">
      <alignment horizontal="left"/>
      <protection hidden="1"/>
    </xf>
    <xf numFmtId="0" fontId="47" fillId="35" borderId="65" xfId="0" applyFont="1" applyFill="1" applyBorder="1" applyAlignment="1" applyProtection="1">
      <protection hidden="1"/>
    </xf>
    <xf numFmtId="0" fontId="47" fillId="35" borderId="66" xfId="0" applyFont="1" applyFill="1" applyBorder="1" applyAlignment="1" applyProtection="1">
      <protection hidden="1"/>
    </xf>
    <xf numFmtId="0" fontId="47" fillId="42" borderId="13" xfId="67" applyFont="1" applyFill="1" applyBorder="1" applyAlignment="1" applyProtection="1">
      <alignment horizontal="left"/>
      <protection hidden="1"/>
    </xf>
    <xf numFmtId="0" fontId="47" fillId="42" borderId="13" xfId="0" applyFont="1" applyFill="1" applyBorder="1" applyAlignment="1" applyProtection="1">
      <protection hidden="1"/>
    </xf>
    <xf numFmtId="1" fontId="47" fillId="42" borderId="13" xfId="67" applyNumberFormat="1" applyFont="1" applyFill="1" applyBorder="1" applyAlignment="1" applyProtection="1">
      <alignment horizontal="left"/>
      <protection hidden="1"/>
    </xf>
    <xf numFmtId="165" fontId="47" fillId="45" borderId="162" xfId="108" applyNumberFormat="1" applyFill="1" applyBorder="1" applyAlignment="1" applyProtection="1">
      <alignment horizontal="center" wrapText="1"/>
      <protection hidden="1"/>
    </xf>
    <xf numFmtId="165" fontId="47" fillId="45" borderId="164" xfId="108" applyNumberFormat="1" applyFill="1" applyBorder="1" applyAlignment="1" applyProtection="1">
      <alignment horizontal="center" wrapText="1"/>
      <protection hidden="1"/>
    </xf>
    <xf numFmtId="0" fontId="34" fillId="51" borderId="0" xfId="69" applyFont="1" applyFill="1" applyBorder="1" applyAlignment="1" applyProtection="1">
      <alignment horizontal="left"/>
      <protection hidden="1"/>
    </xf>
    <xf numFmtId="14" fontId="176" fillId="51" borderId="0" xfId="108" applyNumberFormat="1" applyFont="1" applyFill="1" applyAlignment="1" applyProtection="1">
      <alignment horizontal="left"/>
      <protection hidden="1"/>
    </xf>
    <xf numFmtId="165" fontId="178" fillId="51" borderId="0" xfId="103" applyNumberFormat="1" applyFont="1" applyFill="1" applyAlignment="1" applyProtection="1">
      <protection hidden="1"/>
    </xf>
    <xf numFmtId="0" fontId="25" fillId="51" borderId="0" xfId="2255" applyFont="1" applyFill="1" applyAlignment="1" applyProtection="1">
      <alignment horizontal="right"/>
      <protection hidden="1"/>
    </xf>
    <xf numFmtId="0" fontId="85" fillId="51" borderId="0" xfId="343" applyFont="1" applyFill="1" applyAlignment="1" applyProtection="1">
      <alignment horizontal="left" vertical="center" wrapText="1"/>
      <protection hidden="1"/>
    </xf>
    <xf numFmtId="0" fontId="309" fillId="51" borderId="0" xfId="108" applyFont="1" applyFill="1" applyBorder="1" applyAlignment="1" applyProtection="1">
      <alignment horizontal="center" vertical="center" wrapText="1"/>
      <protection hidden="1"/>
    </xf>
    <xf numFmtId="0" fontId="85" fillId="51" borderId="0" xfId="343" applyFont="1" applyFill="1" applyAlignment="1" applyProtection="1">
      <alignment horizontal="right"/>
      <protection hidden="1"/>
    </xf>
    <xf numFmtId="0" fontId="176" fillId="51" borderId="0" xfId="343" applyFont="1" applyFill="1" applyAlignment="1" applyProtection="1">
      <alignment horizontal="right"/>
      <protection hidden="1"/>
    </xf>
    <xf numFmtId="0" fontId="85" fillId="53" borderId="16" xfId="108" applyFont="1" applyFill="1" applyBorder="1" applyAlignment="1" applyProtection="1">
      <alignment horizontal="left"/>
      <protection hidden="1"/>
    </xf>
    <xf numFmtId="1" fontId="1" fillId="42" borderId="257" xfId="103" applyNumberFormat="1" applyFont="1" applyFill="1" applyBorder="1" applyAlignment="1" applyProtection="1">
      <alignment horizontal="right"/>
      <protection hidden="1"/>
    </xf>
    <xf numFmtId="0" fontId="308" fillId="51" borderId="16" xfId="343" applyFont="1" applyFill="1" applyBorder="1" applyAlignment="1" applyProtection="1">
      <alignment horizontal="left"/>
      <protection hidden="1"/>
    </xf>
    <xf numFmtId="0" fontId="308" fillId="51" borderId="96" xfId="343" applyFont="1" applyFill="1" applyBorder="1" applyAlignment="1" applyProtection="1">
      <alignment horizontal="left"/>
      <protection hidden="1"/>
    </xf>
    <xf numFmtId="0" fontId="85" fillId="51" borderId="258" xfId="108" applyFont="1" applyFill="1" applyBorder="1" applyAlignment="1" applyProtection="1">
      <alignment horizontal="left"/>
      <protection hidden="1"/>
    </xf>
    <xf numFmtId="0" fontId="85" fillId="42" borderId="0" xfId="108" applyFont="1" applyFill="1" applyAlignment="1" applyProtection="1">
      <alignment horizontal="left"/>
      <protection hidden="1"/>
    </xf>
    <xf numFmtId="0" fontId="146" fillId="53" borderId="96" xfId="215" applyFont="1" applyFill="1" applyBorder="1" applyAlignment="1" applyProtection="1">
      <alignment horizontal="center"/>
      <protection hidden="1"/>
    </xf>
    <xf numFmtId="0" fontId="146" fillId="53" borderId="0" xfId="103" applyFont="1" applyFill="1" applyAlignment="1" applyProtection="1">
      <protection hidden="1"/>
    </xf>
    <xf numFmtId="0" fontId="85" fillId="53" borderId="271" xfId="103" applyFill="1" applyBorder="1" applyAlignment="1" applyProtection="1">
      <alignment horizontal="left" wrapText="1"/>
      <protection hidden="1"/>
    </xf>
    <xf numFmtId="0" fontId="85" fillId="53" borderId="0" xfId="103" applyFill="1" applyBorder="1" applyAlignment="1" applyProtection="1">
      <alignment horizontal="left" wrapText="1"/>
      <protection hidden="1"/>
    </xf>
    <xf numFmtId="0" fontId="146" fillId="53" borderId="196" xfId="103" applyFont="1" applyFill="1" applyBorder="1" applyAlignment="1" applyProtection="1">
      <alignment horizontal="center" vertical="center" wrapText="1"/>
      <protection hidden="1"/>
    </xf>
    <xf numFmtId="0" fontId="146" fillId="53" borderId="167" xfId="103" applyFont="1" applyFill="1" applyBorder="1" applyAlignment="1" applyProtection="1">
      <alignment horizontal="center" vertical="center" wrapText="1"/>
      <protection hidden="1"/>
    </xf>
    <xf numFmtId="174" fontId="146" fillId="53" borderId="258" xfId="103" applyNumberFormat="1" applyFont="1" applyFill="1" applyBorder="1" applyAlignment="1" applyProtection="1">
      <alignment horizontal="center" vertical="center" wrapText="1"/>
      <protection hidden="1"/>
    </xf>
    <xf numFmtId="164" fontId="85" fillId="42" borderId="260" xfId="103" applyNumberFormat="1" applyFill="1" applyBorder="1" applyAlignment="1" applyProtection="1">
      <protection hidden="1"/>
    </xf>
    <xf numFmtId="0" fontId="85" fillId="0" borderId="259" xfId="342" applyBorder="1" applyProtection="1">
      <protection hidden="1"/>
    </xf>
    <xf numFmtId="164" fontId="85" fillId="42" borderId="274" xfId="103" applyNumberFormat="1" applyFill="1" applyBorder="1" applyAlignment="1" applyProtection="1">
      <alignment horizontal="right"/>
      <protection hidden="1"/>
    </xf>
    <xf numFmtId="0" fontId="85" fillId="0" borderId="275" xfId="342" applyBorder="1" applyAlignment="1" applyProtection="1">
      <alignment horizontal="right"/>
      <protection hidden="1"/>
    </xf>
    <xf numFmtId="0" fontId="308" fillId="51" borderId="258" xfId="343" applyFont="1" applyFill="1" applyBorder="1" applyAlignment="1" applyProtection="1">
      <alignment horizontal="left"/>
      <protection hidden="1"/>
    </xf>
    <xf numFmtId="0" fontId="50" fillId="42" borderId="0" xfId="103" applyFont="1" applyFill="1" applyAlignment="1" applyProtection="1">
      <protection hidden="1"/>
    </xf>
    <xf numFmtId="1" fontId="1" fillId="42" borderId="179" xfId="103" applyNumberFormat="1" applyFont="1" applyFill="1" applyBorder="1" applyAlignment="1" applyProtection="1">
      <alignment horizontal="center"/>
      <protection hidden="1"/>
    </xf>
    <xf numFmtId="165" fontId="317" fillId="42" borderId="258" xfId="103" applyNumberFormat="1" applyFont="1" applyFill="1" applyBorder="1" applyAlignment="1" applyProtection="1">
      <alignment horizontal="center" vertical="center" wrapText="1"/>
      <protection hidden="1"/>
    </xf>
    <xf numFmtId="2" fontId="320" fillId="42" borderId="258" xfId="2255" applyNumberFormat="1" applyFont="1" applyFill="1" applyBorder="1" applyAlignment="1" applyProtection="1">
      <alignment horizontal="center" vertical="center" wrapText="1"/>
      <protection hidden="1"/>
    </xf>
    <xf numFmtId="0" fontId="204" fillId="51" borderId="96" xfId="343" applyFont="1" applyFill="1" applyBorder="1" applyAlignment="1" applyProtection="1">
      <alignment horizontal="left"/>
      <protection hidden="1"/>
    </xf>
    <xf numFmtId="0" fontId="85" fillId="51" borderId="16" xfId="343" applyFont="1" applyFill="1" applyBorder="1" applyAlignment="1" applyProtection="1">
      <alignment horizontal="left"/>
      <protection hidden="1"/>
    </xf>
    <xf numFmtId="0" fontId="146" fillId="51" borderId="96" xfId="108" applyFont="1" applyFill="1" applyBorder="1" applyAlignment="1" applyProtection="1">
      <alignment horizontal="left"/>
      <protection hidden="1"/>
    </xf>
    <xf numFmtId="164" fontId="321" fillId="42" borderId="257" xfId="103" applyNumberFormat="1" applyFont="1" applyFill="1" applyBorder="1" applyAlignment="1" applyProtection="1">
      <alignment horizontal="right"/>
      <protection hidden="1"/>
    </xf>
    <xf numFmtId="0" fontId="204" fillId="82" borderId="257" xfId="343" applyFont="1" applyFill="1" applyBorder="1" applyAlignment="1" applyProtection="1">
      <alignment horizontal="left"/>
      <protection hidden="1"/>
    </xf>
    <xf numFmtId="0" fontId="146" fillId="0" borderId="257" xfId="343" applyFont="1" applyBorder="1" applyAlignment="1" applyProtection="1">
      <alignment horizontal="left"/>
      <protection hidden="1"/>
    </xf>
    <xf numFmtId="0" fontId="1" fillId="0" borderId="257" xfId="104" applyFont="1" applyBorder="1" applyAlignment="1" applyProtection="1">
      <alignment horizontal="right"/>
      <protection hidden="1"/>
    </xf>
    <xf numFmtId="0" fontId="85" fillId="82" borderId="257" xfId="343" applyFont="1" applyFill="1" applyBorder="1" applyAlignment="1" applyProtection="1">
      <alignment horizontal="left"/>
      <protection hidden="1"/>
    </xf>
    <xf numFmtId="0" fontId="85" fillId="53" borderId="260" xfId="103" applyFont="1" applyFill="1" applyBorder="1" applyAlignment="1" applyProtection="1">
      <alignment horizontal="left" vertical="top"/>
      <protection hidden="1"/>
    </xf>
    <xf numFmtId="0" fontId="85" fillId="53" borderId="259" xfId="103" applyFont="1" applyFill="1" applyBorder="1" applyAlignment="1" applyProtection="1">
      <alignment horizontal="left" vertical="top"/>
      <protection hidden="1"/>
    </xf>
    <xf numFmtId="164" fontId="85" fillId="42" borderId="260" xfId="103" applyNumberFormat="1" applyFill="1" applyBorder="1" applyAlignment="1" applyProtection="1">
      <alignment horizontal="right"/>
      <protection hidden="1"/>
    </xf>
    <xf numFmtId="0" fontId="85" fillId="0" borderId="259" xfId="342" applyBorder="1" applyAlignment="1" applyProtection="1">
      <alignment horizontal="right"/>
      <protection hidden="1"/>
    </xf>
    <xf numFmtId="165" fontId="317" fillId="42" borderId="196" xfId="103" applyNumberFormat="1" applyFont="1" applyFill="1" applyBorder="1" applyAlignment="1" applyProtection="1">
      <alignment horizontal="center" vertical="center" wrapText="1"/>
      <protection hidden="1"/>
    </xf>
    <xf numFmtId="165" fontId="317" fillId="42" borderId="198" xfId="103" applyNumberFormat="1" applyFont="1" applyFill="1" applyBorder="1" applyAlignment="1" applyProtection="1">
      <alignment horizontal="center" vertical="center" wrapText="1"/>
      <protection hidden="1"/>
    </xf>
    <xf numFmtId="165" fontId="317" fillId="42" borderId="167" xfId="103" applyNumberFormat="1" applyFont="1" applyFill="1" applyBorder="1" applyAlignment="1" applyProtection="1">
      <alignment horizontal="center" vertical="center" wrapText="1"/>
      <protection hidden="1"/>
    </xf>
    <xf numFmtId="165" fontId="317" fillId="42" borderId="273" xfId="103" applyNumberFormat="1" applyFont="1" applyFill="1" applyBorder="1" applyAlignment="1" applyProtection="1">
      <alignment horizontal="center" vertical="center" wrapText="1"/>
      <protection hidden="1"/>
    </xf>
    <xf numFmtId="0" fontId="50" fillId="51" borderId="0" xfId="343" applyFont="1" applyFill="1" applyBorder="1" applyAlignment="1" applyProtection="1">
      <alignment horizontal="left"/>
      <protection hidden="1"/>
    </xf>
    <xf numFmtId="0" fontId="85" fillId="82" borderId="257" xfId="343" applyFill="1" applyBorder="1" applyAlignment="1" applyProtection="1">
      <alignment horizontal="left"/>
      <protection hidden="1"/>
    </xf>
    <xf numFmtId="0" fontId="85" fillId="51" borderId="260" xfId="108" applyFont="1" applyFill="1" applyBorder="1" applyAlignment="1" applyProtection="1">
      <alignment horizontal="center"/>
      <protection hidden="1"/>
    </xf>
    <xf numFmtId="0" fontId="85" fillId="0" borderId="261" xfId="342" applyBorder="1" applyProtection="1">
      <protection hidden="1"/>
    </xf>
    <xf numFmtId="0" fontId="3" fillId="51" borderId="260" xfId="343" applyFont="1" applyFill="1" applyBorder="1" applyAlignment="1" applyProtection="1">
      <alignment horizontal="left"/>
      <protection hidden="1"/>
    </xf>
    <xf numFmtId="0" fontId="3" fillId="51" borderId="259" xfId="343" applyFont="1" applyFill="1" applyBorder="1" applyAlignment="1" applyProtection="1">
      <alignment horizontal="left"/>
      <protection hidden="1"/>
    </xf>
    <xf numFmtId="0" fontId="1" fillId="42" borderId="257" xfId="104" applyFont="1" applyFill="1" applyBorder="1" applyAlignment="1" applyProtection="1">
      <alignment horizontal="right"/>
      <protection hidden="1"/>
    </xf>
    <xf numFmtId="0" fontId="85" fillId="0" borderId="257" xfId="108" applyFont="1" applyBorder="1" applyAlignment="1" applyProtection="1">
      <alignment horizontal="left"/>
      <protection hidden="1"/>
    </xf>
    <xf numFmtId="0" fontId="85" fillId="0" borderId="257" xfId="343" applyFont="1" applyBorder="1" applyAlignment="1" applyProtection="1">
      <alignment horizontal="left"/>
      <protection hidden="1"/>
    </xf>
    <xf numFmtId="0" fontId="85" fillId="42" borderId="0" xfId="108" applyFont="1" applyFill="1" applyBorder="1" applyAlignment="1" applyProtection="1">
      <alignment vertical="center" wrapText="1"/>
      <protection hidden="1"/>
    </xf>
    <xf numFmtId="2" fontId="146" fillId="42" borderId="96" xfId="103" applyNumberFormat="1" applyFont="1" applyFill="1" applyBorder="1" applyAlignment="1" applyProtection="1">
      <alignment horizontal="center"/>
      <protection hidden="1"/>
    </xf>
    <xf numFmtId="0" fontId="85" fillId="42" borderId="0" xfId="108" applyFont="1" applyFill="1" applyBorder="1" applyAlignment="1" applyProtection="1">
      <alignment horizontal="left" wrapText="1"/>
      <protection hidden="1"/>
    </xf>
    <xf numFmtId="0" fontId="308" fillId="51" borderId="0" xfId="343" applyFont="1" applyFill="1" applyBorder="1" applyAlignment="1" applyProtection="1">
      <alignment horizontal="left" vertical="top" wrapText="1"/>
      <protection hidden="1"/>
    </xf>
    <xf numFmtId="0" fontId="146" fillId="51" borderId="0" xfId="343" applyFont="1" applyFill="1" applyAlignment="1" applyProtection="1">
      <alignment horizontal="left"/>
      <protection hidden="1"/>
    </xf>
    <xf numFmtId="0" fontId="308" fillId="51" borderId="257" xfId="343" applyFont="1" applyFill="1" applyBorder="1" applyAlignment="1" applyProtection="1">
      <alignment horizontal="left"/>
      <protection hidden="1"/>
    </xf>
    <xf numFmtId="0" fontId="52" fillId="51" borderId="0" xfId="109" applyFont="1" applyFill="1" applyAlignment="1" applyProtection="1">
      <alignment horizontal="left"/>
      <protection hidden="1"/>
    </xf>
    <xf numFmtId="0" fontId="85" fillId="0" borderId="0" xfId="343" applyFont="1" applyAlignment="1" applyProtection="1">
      <protection hidden="1"/>
    </xf>
    <xf numFmtId="0" fontId="146" fillId="53" borderId="0" xfId="343" applyFont="1" applyFill="1" applyAlignment="1" applyProtection="1">
      <alignment horizontal="left"/>
      <protection hidden="1"/>
    </xf>
    <xf numFmtId="0" fontId="170" fillId="0" borderId="0" xfId="342" applyFont="1" applyBorder="1" applyAlignment="1" applyProtection="1">
      <alignment horizontal="left" vertical="top" wrapText="1"/>
      <protection hidden="1"/>
    </xf>
    <xf numFmtId="0" fontId="170" fillId="0" borderId="0" xfId="342" applyFont="1" applyBorder="1" applyAlignment="1" applyProtection="1">
      <alignment horizontal="left" vertical="top"/>
      <protection hidden="1"/>
    </xf>
    <xf numFmtId="165" fontId="85" fillId="51" borderId="0" xfId="108" applyNumberFormat="1" applyFont="1" applyFill="1" applyAlignment="1" applyProtection="1">
      <alignment horizontal="left"/>
      <protection hidden="1"/>
    </xf>
    <xf numFmtId="0" fontId="85" fillId="51" borderId="0" xfId="343" applyFont="1" applyFill="1" applyAlignment="1" applyProtection="1">
      <alignment horizontal="left"/>
      <protection hidden="1"/>
    </xf>
    <xf numFmtId="0" fontId="85" fillId="51" borderId="0" xfId="108" applyFont="1" applyFill="1" applyAlignment="1" applyProtection="1">
      <alignment horizontal="left"/>
      <protection hidden="1"/>
    </xf>
    <xf numFmtId="0" fontId="85" fillId="53" borderId="0" xfId="108" applyFont="1" applyFill="1" applyAlignment="1" applyProtection="1">
      <alignment horizontal="left"/>
      <protection hidden="1"/>
    </xf>
    <xf numFmtId="0" fontId="85" fillId="51" borderId="0" xfId="215" applyFont="1" applyFill="1" applyAlignment="1" applyProtection="1">
      <alignment horizontal="left"/>
      <protection hidden="1"/>
    </xf>
    <xf numFmtId="0" fontId="85" fillId="53" borderId="0" xfId="343" applyFont="1" applyFill="1" applyAlignment="1" applyProtection="1">
      <alignment horizontal="left" vertical="top" wrapText="1" shrinkToFit="1"/>
      <protection hidden="1"/>
    </xf>
    <xf numFmtId="2" fontId="146" fillId="42" borderId="0" xfId="103" applyNumberFormat="1" applyFont="1" applyFill="1" applyAlignment="1" applyProtection="1">
      <alignment horizontal="left"/>
      <protection hidden="1"/>
    </xf>
    <xf numFmtId="0" fontId="85" fillId="0" borderId="257" xfId="343" applyFont="1" applyBorder="1" applyAlignment="1" applyProtection="1">
      <alignment horizontal="center"/>
      <protection hidden="1"/>
    </xf>
    <xf numFmtId="0" fontId="146" fillId="51" borderId="0" xfId="103" applyFont="1" applyFill="1" applyAlignment="1" applyProtection="1">
      <protection hidden="1"/>
    </xf>
    <xf numFmtId="2" fontId="170" fillId="51" borderId="274" xfId="343" applyNumberFormat="1" applyFont="1" applyFill="1" applyBorder="1" applyAlignment="1" applyProtection="1">
      <alignment horizontal="right"/>
      <protection hidden="1"/>
    </xf>
    <xf numFmtId="2" fontId="170" fillId="51" borderId="261" xfId="343" applyNumberFormat="1" applyFont="1" applyFill="1" applyBorder="1" applyAlignment="1" applyProtection="1">
      <alignment horizontal="right"/>
      <protection hidden="1"/>
    </xf>
    <xf numFmtId="2" fontId="170" fillId="51" borderId="275" xfId="343" applyNumberFormat="1" applyFont="1" applyFill="1" applyBorder="1" applyAlignment="1" applyProtection="1">
      <alignment horizontal="right"/>
      <protection hidden="1"/>
    </xf>
    <xf numFmtId="164" fontId="85" fillId="53" borderId="0" xfId="103" applyNumberFormat="1" applyFill="1" applyAlignment="1" applyProtection="1">
      <alignment horizontal="left" vertical="top" wrapText="1"/>
      <protection hidden="1"/>
    </xf>
    <xf numFmtId="0" fontId="170" fillId="53" borderId="260" xfId="104" applyFont="1" applyFill="1" applyBorder="1" applyAlignment="1" applyProtection="1">
      <alignment horizontal="left"/>
      <protection hidden="1"/>
    </xf>
    <xf numFmtId="0" fontId="170" fillId="53" borderId="261" xfId="104" applyFont="1" applyFill="1" applyBorder="1" applyAlignment="1" applyProtection="1">
      <alignment horizontal="left"/>
      <protection hidden="1"/>
    </xf>
    <xf numFmtId="0" fontId="170" fillId="53" borderId="259" xfId="104" applyFont="1" applyFill="1" applyBorder="1" applyAlignment="1" applyProtection="1">
      <alignment horizontal="left"/>
      <protection hidden="1"/>
    </xf>
    <xf numFmtId="0" fontId="263" fillId="53" borderId="0" xfId="104" applyFont="1" applyFill="1" applyBorder="1" applyAlignment="1" applyProtection="1">
      <alignment horizontal="left" vertical="center"/>
      <protection hidden="1"/>
    </xf>
    <xf numFmtId="0" fontId="85" fillId="42" borderId="260" xfId="108" applyFont="1" applyFill="1" applyBorder="1" applyAlignment="1" applyProtection="1">
      <alignment horizontal="right"/>
      <protection hidden="1"/>
    </xf>
    <xf numFmtId="0" fontId="85" fillId="42" borderId="259" xfId="108" applyFont="1" applyFill="1" applyBorder="1" applyAlignment="1" applyProtection="1">
      <alignment horizontal="right"/>
      <protection hidden="1"/>
    </xf>
    <xf numFmtId="2" fontId="85" fillId="0" borderId="257" xfId="108" applyNumberFormat="1" applyFont="1" applyBorder="1" applyAlignment="1" applyProtection="1">
      <alignment horizontal="center" vertical="center"/>
      <protection hidden="1"/>
    </xf>
    <xf numFmtId="2" fontId="85" fillId="42" borderId="257" xfId="108" applyNumberFormat="1" applyFont="1" applyFill="1" applyBorder="1" applyAlignment="1" applyProtection="1">
      <alignment horizontal="center"/>
      <protection hidden="1"/>
    </xf>
    <xf numFmtId="0" fontId="85" fillId="53" borderId="260" xfId="108" applyFont="1" applyFill="1" applyBorder="1" applyAlignment="1" applyProtection="1">
      <alignment horizontal="center"/>
      <protection hidden="1"/>
    </xf>
    <xf numFmtId="0" fontId="85" fillId="51" borderId="259" xfId="343" applyFont="1" applyFill="1" applyBorder="1" applyProtection="1">
      <protection hidden="1"/>
    </xf>
    <xf numFmtId="0" fontId="85" fillId="44" borderId="260" xfId="108" applyFont="1" applyFill="1" applyBorder="1" applyAlignment="1" applyProtection="1">
      <alignment horizontal="center"/>
      <protection locked="0"/>
    </xf>
    <xf numFmtId="0" fontId="85" fillId="0" borderId="259" xfId="343" applyFont="1" applyBorder="1" applyProtection="1">
      <protection locked="0"/>
    </xf>
    <xf numFmtId="0" fontId="59" fillId="51" borderId="0" xfId="108" applyFont="1" applyFill="1" applyAlignment="1" applyProtection="1">
      <alignment horizontal="left" vertical="top" wrapText="1"/>
      <protection hidden="1"/>
    </xf>
    <xf numFmtId="0" fontId="171" fillId="91" borderId="273" xfId="108" applyFont="1" applyFill="1" applyBorder="1" applyAlignment="1" applyProtection="1">
      <alignment horizontal="center" vertical="top" wrapText="1"/>
      <protection hidden="1"/>
    </xf>
    <xf numFmtId="0" fontId="60" fillId="51" borderId="196" xfId="103" applyFont="1" applyFill="1" applyBorder="1" applyAlignment="1" applyProtection="1">
      <alignment horizontal="center"/>
      <protection hidden="1"/>
    </xf>
    <xf numFmtId="0" fontId="60" fillId="51" borderId="198" xfId="103" applyFont="1" applyFill="1" applyBorder="1" applyAlignment="1" applyProtection="1">
      <alignment horizontal="center"/>
      <protection hidden="1"/>
    </xf>
    <xf numFmtId="0" fontId="85" fillId="42" borderId="0" xfId="104" applyFont="1" applyFill="1" applyAlignment="1" applyProtection="1">
      <protection hidden="1"/>
    </xf>
    <xf numFmtId="0" fontId="11" fillId="53" borderId="0" xfId="108" applyFont="1" applyFill="1" applyAlignment="1" applyProtection="1">
      <alignment horizontal="left"/>
      <protection hidden="1"/>
    </xf>
    <xf numFmtId="0" fontId="195" fillId="53" borderId="0" xfId="108" applyFont="1" applyFill="1" applyAlignment="1" applyProtection="1">
      <alignment horizontal="right"/>
      <protection hidden="1"/>
    </xf>
    <xf numFmtId="0" fontId="25" fillId="53" borderId="0" xfId="2255" applyFont="1" applyFill="1" applyAlignment="1" applyProtection="1">
      <alignment horizontal="left"/>
      <protection hidden="1"/>
    </xf>
    <xf numFmtId="0" fontId="85" fillId="42" borderId="0" xfId="103" applyFill="1" applyAlignment="1" applyProtection="1">
      <alignment horizontal="center" vertical="center"/>
      <protection hidden="1"/>
    </xf>
    <xf numFmtId="0" fontId="85" fillId="53" borderId="0" xfId="104" applyFont="1" applyFill="1" applyAlignment="1" applyProtection="1">
      <protection hidden="1"/>
    </xf>
    <xf numFmtId="0" fontId="85" fillId="53" borderId="0" xfId="103" applyFill="1" applyAlignment="1" applyProtection="1">
      <alignment horizontal="left"/>
      <protection hidden="1"/>
    </xf>
    <xf numFmtId="0" fontId="85" fillId="42" borderId="0" xfId="103" applyFill="1" applyAlignment="1" applyProtection="1">
      <alignment horizontal="center" vertical="top"/>
      <protection hidden="1"/>
    </xf>
    <xf numFmtId="0" fontId="295" fillId="42" borderId="0" xfId="108" applyFont="1" applyFill="1" applyAlignment="1" applyProtection="1">
      <alignment horizontal="right"/>
      <protection hidden="1"/>
    </xf>
    <xf numFmtId="0" fontId="55" fillId="42" borderId="0" xfId="109" applyFont="1" applyFill="1" applyAlignment="1" applyProtection="1">
      <alignment horizontal="right"/>
      <protection hidden="1"/>
    </xf>
    <xf numFmtId="0" fontId="300" fillId="51" borderId="96" xfId="107" applyFont="1" applyFill="1" applyBorder="1" applyAlignment="1" applyProtection="1">
      <alignment horizontal="center"/>
      <protection hidden="1"/>
    </xf>
    <xf numFmtId="0" fontId="243" fillId="51" borderId="96" xfId="107" applyFont="1" applyFill="1" applyBorder="1" applyAlignment="1" applyProtection="1">
      <alignment horizontal="left"/>
      <protection hidden="1"/>
    </xf>
    <xf numFmtId="0" fontId="295" fillId="42" borderId="0" xfId="107" applyFont="1" applyFill="1" applyAlignment="1" applyProtection="1">
      <alignment horizontal="right" vertical="top"/>
      <protection hidden="1"/>
    </xf>
    <xf numFmtId="0" fontId="85" fillId="51" borderId="0" xfId="107" applyFont="1" applyFill="1" applyBorder="1" applyAlignment="1" applyProtection="1">
      <alignment horizontal="center"/>
      <protection hidden="1"/>
    </xf>
    <xf numFmtId="0" fontId="202" fillId="51" borderId="0" xfId="107" applyFont="1" applyFill="1" applyAlignment="1" applyProtection="1">
      <alignment horizontal="center"/>
      <protection hidden="1"/>
    </xf>
    <xf numFmtId="0" fontId="244" fillId="51" borderId="14" xfId="107" applyFont="1" applyFill="1" applyBorder="1" applyAlignment="1" applyProtection="1">
      <alignment horizontal="left"/>
      <protection hidden="1"/>
    </xf>
    <xf numFmtId="0" fontId="191" fillId="0" borderId="177" xfId="107" applyFont="1" applyBorder="1" applyAlignment="1" applyProtection="1">
      <alignment horizontal="left" vertical="center"/>
      <protection hidden="1"/>
    </xf>
    <xf numFmtId="0" fontId="191" fillId="0" borderId="16" xfId="107" applyFont="1" applyBorder="1" applyAlignment="1" applyProtection="1">
      <alignment horizontal="left" vertical="center"/>
      <protection hidden="1"/>
    </xf>
    <xf numFmtId="0" fontId="191" fillId="0" borderId="178" xfId="107" applyFont="1" applyBorder="1" applyAlignment="1" applyProtection="1">
      <alignment horizontal="left" vertical="center"/>
      <protection hidden="1"/>
    </xf>
    <xf numFmtId="0" fontId="191" fillId="0" borderId="103" xfId="107" applyFont="1" applyBorder="1" applyAlignment="1" applyProtection="1">
      <alignment horizontal="center" vertical="center"/>
      <protection hidden="1"/>
    </xf>
    <xf numFmtId="0" fontId="191" fillId="0" borderId="104" xfId="107" applyFont="1" applyBorder="1" applyAlignment="1" applyProtection="1">
      <alignment horizontal="center" vertical="center"/>
      <protection hidden="1"/>
    </xf>
    <xf numFmtId="0" fontId="191" fillId="0" borderId="105" xfId="107" applyFont="1" applyBorder="1" applyAlignment="1" applyProtection="1">
      <alignment horizontal="center" vertical="center"/>
      <protection hidden="1"/>
    </xf>
    <xf numFmtId="0" fontId="191" fillId="0" borderId="13" xfId="107" applyFont="1" applyBorder="1" applyAlignment="1" applyProtection="1">
      <alignment horizontal="center" vertical="center"/>
      <protection hidden="1"/>
    </xf>
    <xf numFmtId="0" fontId="191" fillId="0" borderId="0" xfId="107" applyFont="1" applyBorder="1" applyAlignment="1" applyProtection="1">
      <alignment horizontal="center" vertical="center"/>
      <protection hidden="1"/>
    </xf>
    <xf numFmtId="0" fontId="191" fillId="0" borderId="15" xfId="107" applyFont="1" applyBorder="1" applyAlignment="1" applyProtection="1">
      <alignment horizontal="center" vertical="center"/>
      <protection hidden="1"/>
    </xf>
    <xf numFmtId="0" fontId="191" fillId="0" borderId="106" xfId="107" applyFont="1" applyBorder="1" applyAlignment="1" applyProtection="1">
      <alignment horizontal="center" vertical="center"/>
      <protection hidden="1"/>
    </xf>
    <xf numFmtId="0" fontId="191" fillId="0" borderId="107" xfId="107" applyFont="1" applyBorder="1" applyAlignment="1" applyProtection="1">
      <alignment horizontal="center" vertical="center"/>
      <protection hidden="1"/>
    </xf>
    <xf numFmtId="0" fontId="191" fillId="0" borderId="108" xfId="107" applyFont="1" applyBorder="1" applyAlignment="1" applyProtection="1">
      <alignment horizontal="center" vertical="center"/>
      <protection hidden="1"/>
    </xf>
    <xf numFmtId="0" fontId="191" fillId="0" borderId="179" xfId="107" applyFont="1" applyBorder="1" applyAlignment="1" applyProtection="1">
      <alignment horizontal="left" vertical="center"/>
      <protection hidden="1"/>
    </xf>
    <xf numFmtId="0" fontId="191" fillId="0" borderId="20" xfId="107" applyFont="1" applyBorder="1" applyAlignment="1" applyProtection="1">
      <alignment horizontal="center" vertical="center"/>
      <protection hidden="1"/>
    </xf>
    <xf numFmtId="0" fontId="191" fillId="0" borderId="96" xfId="107" applyFont="1" applyBorder="1" applyAlignment="1" applyProtection="1">
      <alignment horizontal="center" vertical="center"/>
      <protection hidden="1"/>
    </xf>
    <xf numFmtId="0" fontId="191" fillId="0" borderId="23" xfId="107" applyFont="1" applyBorder="1" applyAlignment="1" applyProtection="1">
      <alignment horizontal="center" vertical="center"/>
      <protection hidden="1"/>
    </xf>
    <xf numFmtId="0" fontId="325" fillId="53" borderId="0" xfId="342" applyFont="1" applyFill="1" applyBorder="1" applyAlignment="1" applyProtection="1">
      <alignment horizontal="center"/>
    </xf>
    <xf numFmtId="0" fontId="191" fillId="53" borderId="0" xfId="107" applyFont="1" applyFill="1" applyAlignment="1" applyProtection="1">
      <alignment horizontal="left" vertical="top"/>
      <protection hidden="1"/>
    </xf>
    <xf numFmtId="0" fontId="85" fillId="53" borderId="88" xfId="108" applyFont="1" applyFill="1" applyBorder="1" applyAlignment="1" applyProtection="1">
      <alignment horizontal="left" vertical="top"/>
      <protection hidden="1"/>
    </xf>
    <xf numFmtId="0" fontId="85" fillId="53" borderId="89" xfId="108" applyFont="1" applyFill="1" applyBorder="1" applyAlignment="1" applyProtection="1">
      <alignment horizontal="left" vertical="top"/>
      <protection hidden="1"/>
    </xf>
    <xf numFmtId="0" fontId="85" fillId="53" borderId="90" xfId="108" applyFont="1" applyFill="1" applyBorder="1" applyAlignment="1" applyProtection="1">
      <alignment horizontal="left" vertical="top"/>
      <protection hidden="1"/>
    </xf>
    <xf numFmtId="0" fontId="85" fillId="53" borderId="13" xfId="108" applyFont="1" applyFill="1" applyBorder="1" applyAlignment="1" applyProtection="1">
      <alignment horizontal="left" vertical="top"/>
      <protection hidden="1"/>
    </xf>
    <xf numFmtId="0" fontId="85" fillId="53" borderId="0" xfId="108" applyFont="1" applyFill="1" applyBorder="1" applyAlignment="1" applyProtection="1">
      <alignment horizontal="left" vertical="top"/>
      <protection hidden="1"/>
    </xf>
    <xf numFmtId="0" fontId="85" fillId="53" borderId="15" xfId="108" applyFont="1" applyFill="1" applyBorder="1" applyAlignment="1" applyProtection="1">
      <alignment horizontal="left" vertical="top"/>
      <protection hidden="1"/>
    </xf>
    <xf numFmtId="0" fontId="85" fillId="53" borderId="20" xfId="108" applyFont="1" applyFill="1" applyBorder="1" applyAlignment="1" applyProtection="1">
      <alignment horizontal="left" vertical="top"/>
      <protection hidden="1"/>
    </xf>
    <xf numFmtId="0" fontId="85" fillId="53" borderId="96" xfId="108" applyFont="1" applyFill="1" applyBorder="1" applyAlignment="1" applyProtection="1">
      <alignment horizontal="left" vertical="top"/>
      <protection hidden="1"/>
    </xf>
    <xf numFmtId="0" fontId="85" fillId="53" borderId="23" xfId="108" applyFont="1" applyFill="1" applyBorder="1" applyAlignment="1" applyProtection="1">
      <alignment horizontal="left" vertical="top"/>
      <protection hidden="1"/>
    </xf>
    <xf numFmtId="0" fontId="60" fillId="53" borderId="0" xfId="107" applyFont="1" applyFill="1" applyAlignment="1" applyProtection="1">
      <alignment horizontal="left"/>
      <protection hidden="1"/>
    </xf>
    <xf numFmtId="0" fontId="2" fillId="51" borderId="0" xfId="109" applyFont="1" applyFill="1" applyAlignment="1" applyProtection="1">
      <alignment horizontal="left"/>
      <protection hidden="1"/>
    </xf>
    <xf numFmtId="0" fontId="14" fillId="53" borderId="0" xfId="103" applyFont="1" applyFill="1" applyAlignment="1" applyProtection="1">
      <alignment horizontal="right" wrapText="1"/>
      <protection hidden="1"/>
    </xf>
    <xf numFmtId="0" fontId="207" fillId="53" borderId="0" xfId="108" applyFont="1" applyFill="1" applyAlignment="1" applyProtection="1">
      <alignment horizontal="left" wrapText="1"/>
      <protection hidden="1"/>
    </xf>
    <xf numFmtId="0" fontId="206" fillId="53" borderId="0" xfId="108" applyFont="1" applyFill="1" applyAlignment="1" applyProtection="1">
      <alignment horizontal="left" vertical="top" wrapText="1"/>
      <protection hidden="1"/>
    </xf>
    <xf numFmtId="0" fontId="179" fillId="53" borderId="0" xfId="107" applyFont="1" applyFill="1" applyAlignment="1" applyProtection="1">
      <alignment horizontal="center" vertical="top"/>
      <protection hidden="1"/>
    </xf>
    <xf numFmtId="0" fontId="191" fillId="53" borderId="0" xfId="108" applyFont="1" applyFill="1" applyAlignment="1" applyProtection="1">
      <alignment horizontal="right"/>
      <protection hidden="1"/>
    </xf>
    <xf numFmtId="0" fontId="29" fillId="53" borderId="0" xfId="107" applyFont="1" applyFill="1" applyAlignment="1" applyProtection="1">
      <alignment horizontal="center" wrapText="1"/>
      <protection hidden="1"/>
    </xf>
    <xf numFmtId="0" fontId="12" fillId="0" borderId="0" xfId="86" applyFont="1" applyAlignment="1" applyProtection="1">
      <alignment horizontal="center"/>
      <protection hidden="1"/>
    </xf>
    <xf numFmtId="0" fontId="11" fillId="0" borderId="0" xfId="86" applyFont="1" applyAlignment="1" applyProtection="1">
      <alignment horizontal="center"/>
      <protection hidden="1"/>
    </xf>
    <xf numFmtId="0" fontId="12" fillId="35" borderId="0" xfId="79" applyFont="1" applyFill="1" applyBorder="1" applyAlignment="1" applyProtection="1">
      <alignment horizontal="left"/>
      <protection hidden="1"/>
    </xf>
    <xf numFmtId="0" fontId="3" fillId="51" borderId="13" xfId="74" applyFont="1" applyFill="1" applyBorder="1" applyAlignment="1" applyProtection="1">
      <protection hidden="1"/>
    </xf>
    <xf numFmtId="0" fontId="3" fillId="51" borderId="0" xfId="74" applyFont="1" applyFill="1" applyBorder="1" applyAlignment="1" applyProtection="1">
      <protection hidden="1"/>
    </xf>
    <xf numFmtId="0" fontId="3" fillId="51" borderId="15" xfId="74" applyFont="1" applyFill="1" applyBorder="1" applyAlignment="1" applyProtection="1">
      <protection hidden="1"/>
    </xf>
    <xf numFmtId="2" fontId="3" fillId="35" borderId="193" xfId="86" applyNumberFormat="1" applyFont="1" applyFill="1" applyBorder="1" applyAlignment="1" applyProtection="1">
      <alignment horizontal="left" wrapText="1"/>
      <protection hidden="1"/>
    </xf>
    <xf numFmtId="0" fontId="47" fillId="51" borderId="0" xfId="67" applyFont="1" applyFill="1" applyBorder="1" applyAlignment="1" applyProtection="1">
      <alignment horizontal="left" vertical="top"/>
      <protection hidden="1"/>
    </xf>
    <xf numFmtId="0" fontId="3" fillId="51" borderId="96" xfId="0" applyFont="1" applyFill="1" applyBorder="1" applyAlignment="1" applyProtection="1">
      <alignment horizontal="center"/>
      <protection hidden="1"/>
    </xf>
    <xf numFmtId="0" fontId="3" fillId="51" borderId="0" xfId="71" applyFont="1" applyFill="1" applyBorder="1" applyAlignment="1" applyProtection="1">
      <alignment horizontal="right" wrapText="1"/>
      <protection hidden="1"/>
    </xf>
    <xf numFmtId="0" fontId="3" fillId="0" borderId="162" xfId="0" applyFont="1" applyBorder="1" applyAlignment="1" applyProtection="1">
      <alignment horizontal="left"/>
      <protection hidden="1"/>
    </xf>
    <xf numFmtId="0" fontId="3" fillId="0" borderId="164" xfId="0" applyFont="1" applyBorder="1" applyAlignment="1" applyProtection="1">
      <alignment horizontal="left"/>
      <protection hidden="1"/>
    </xf>
    <xf numFmtId="0" fontId="3" fillId="35" borderId="193" xfId="0" applyFont="1" applyFill="1" applyBorder="1" applyAlignment="1" applyProtection="1">
      <alignment horizontal="left"/>
      <protection hidden="1"/>
    </xf>
    <xf numFmtId="0" fontId="3" fillId="35" borderId="0" xfId="70" applyFont="1" applyFill="1" applyBorder="1" applyAlignment="1" applyProtection="1">
      <protection hidden="1"/>
    </xf>
    <xf numFmtId="0" fontId="3" fillId="35" borderId="0" xfId="0" applyFont="1" applyFill="1" applyProtection="1">
      <protection hidden="1"/>
    </xf>
    <xf numFmtId="2" fontId="3" fillId="35" borderId="0" xfId="76" applyNumberFormat="1" applyFont="1" applyFill="1" applyAlignment="1" applyProtection="1">
      <protection hidden="1"/>
    </xf>
    <xf numFmtId="0" fontId="3" fillId="51" borderId="0" xfId="0" applyFont="1" applyFill="1" applyProtection="1">
      <protection hidden="1"/>
    </xf>
    <xf numFmtId="0" fontId="34" fillId="35" borderId="0" xfId="70" applyFont="1" applyFill="1" applyBorder="1" applyAlignment="1" applyProtection="1">
      <protection hidden="1"/>
    </xf>
    <xf numFmtId="0" fontId="3" fillId="41" borderId="196" xfId="74" applyNumberFormat="1" applyFont="1" applyFill="1" applyBorder="1" applyAlignment="1" applyProtection="1">
      <alignment horizontal="left" vertical="top" wrapText="1"/>
      <protection locked="0"/>
    </xf>
    <xf numFmtId="0" fontId="3" fillId="41" borderId="197" xfId="74" applyNumberFormat="1" applyFont="1" applyFill="1" applyBorder="1" applyAlignment="1" applyProtection="1">
      <alignment horizontal="left" vertical="top" wrapText="1"/>
      <protection locked="0"/>
    </xf>
    <xf numFmtId="0" fontId="3" fillId="41" borderId="198" xfId="74" applyNumberFormat="1" applyFont="1" applyFill="1" applyBorder="1" applyAlignment="1" applyProtection="1">
      <alignment horizontal="left" vertical="top" wrapText="1"/>
      <protection locked="0"/>
    </xf>
    <xf numFmtId="0" fontId="3" fillId="41" borderId="167" xfId="74" applyNumberFormat="1" applyFont="1" applyFill="1" applyBorder="1" applyAlignment="1" applyProtection="1">
      <alignment horizontal="left" vertical="top" wrapText="1"/>
      <protection locked="0"/>
    </xf>
    <xf numFmtId="0" fontId="3" fillId="41" borderId="0" xfId="74" applyNumberFormat="1" applyFont="1" applyFill="1" applyBorder="1" applyAlignment="1" applyProtection="1">
      <alignment horizontal="left" vertical="top" wrapText="1"/>
      <protection locked="0"/>
    </xf>
    <xf numFmtId="0" fontId="3" fillId="41" borderId="220" xfId="74" applyNumberFormat="1" applyFont="1" applyFill="1" applyBorder="1" applyAlignment="1" applyProtection="1">
      <alignment horizontal="left" vertical="top" wrapText="1"/>
      <protection locked="0"/>
    </xf>
    <xf numFmtId="0" fontId="3" fillId="41" borderId="175" xfId="74" applyNumberFormat="1" applyFont="1" applyFill="1" applyBorder="1" applyAlignment="1" applyProtection="1">
      <alignment horizontal="left" vertical="top" wrapText="1"/>
      <protection locked="0"/>
    </xf>
    <xf numFmtId="0" fontId="3" fillId="41" borderId="96" xfId="74" applyNumberFormat="1" applyFont="1" applyFill="1" applyBorder="1" applyAlignment="1" applyProtection="1">
      <alignment horizontal="left" vertical="top" wrapText="1"/>
      <protection locked="0"/>
    </xf>
    <xf numFmtId="0" fontId="3" fillId="41" borderId="176" xfId="74" applyNumberFormat="1" applyFont="1" applyFill="1" applyBorder="1" applyAlignment="1" applyProtection="1">
      <alignment horizontal="left" vertical="top" wrapText="1"/>
      <protection locked="0"/>
    </xf>
    <xf numFmtId="0" fontId="3" fillId="51" borderId="0" xfId="86" applyFont="1" applyFill="1" applyBorder="1" applyAlignment="1" applyProtection="1">
      <alignment horizontal="right"/>
      <protection hidden="1"/>
    </xf>
    <xf numFmtId="0" fontId="3" fillId="51" borderId="0" xfId="86" applyFont="1" applyFill="1" applyAlignment="1" applyProtection="1">
      <alignment horizontal="right"/>
      <protection hidden="1"/>
    </xf>
    <xf numFmtId="0" fontId="3" fillId="35" borderId="0" xfId="86" applyFont="1" applyFill="1" applyAlignment="1" applyProtection="1">
      <alignment horizontal="right"/>
      <protection hidden="1"/>
    </xf>
    <xf numFmtId="0" fontId="3" fillId="35" borderId="0" xfId="76" applyFont="1" applyFill="1" applyAlignment="1" applyProtection="1">
      <alignment horizontal="right"/>
      <protection hidden="1"/>
    </xf>
    <xf numFmtId="0" fontId="3" fillId="51" borderId="0" xfId="76" applyFont="1" applyFill="1" applyBorder="1" applyAlignment="1" applyProtection="1">
      <alignment vertical="center"/>
      <protection hidden="1"/>
    </xf>
    <xf numFmtId="0" fontId="3" fillId="35" borderId="0" xfId="76" applyFont="1" applyFill="1" applyAlignment="1" applyProtection="1">
      <alignment horizontal="left"/>
      <protection hidden="1"/>
    </xf>
    <xf numFmtId="1" fontId="3" fillId="35" borderId="0" xfId="76" applyNumberFormat="1" applyFont="1" applyFill="1" applyAlignment="1" applyProtection="1">
      <protection hidden="1"/>
    </xf>
    <xf numFmtId="0" fontId="3" fillId="35" borderId="0" xfId="70" applyFont="1" applyFill="1" applyBorder="1" applyAlignment="1" applyProtection="1">
      <alignment horizontal="right"/>
      <protection hidden="1"/>
    </xf>
    <xf numFmtId="0" fontId="3" fillId="0" borderId="0" xfId="0" applyFont="1" applyAlignment="1" applyProtection="1">
      <alignment horizontal="right"/>
      <protection hidden="1"/>
    </xf>
    <xf numFmtId="0" fontId="52" fillId="51" borderId="0" xfId="46" applyFont="1" applyFill="1" applyAlignment="1" applyProtection="1">
      <alignment horizontal="center"/>
      <protection hidden="1"/>
    </xf>
    <xf numFmtId="0" fontId="3" fillId="35" borderId="96" xfId="59" applyFont="1" applyFill="1" applyBorder="1" applyAlignment="1" applyProtection="1">
      <alignment horizontal="left"/>
      <protection hidden="1"/>
    </xf>
    <xf numFmtId="0" fontId="34" fillId="51" borderId="0" xfId="70" applyFont="1" applyFill="1" applyBorder="1" applyAlignment="1" applyProtection="1">
      <protection hidden="1"/>
    </xf>
    <xf numFmtId="0" fontId="11" fillId="35" borderId="0" xfId="70" applyFont="1" applyFill="1" applyBorder="1" applyAlignment="1" applyProtection="1">
      <alignment horizontal="right"/>
      <protection hidden="1"/>
    </xf>
    <xf numFmtId="0" fontId="40" fillId="35" borderId="0" xfId="76" applyFont="1" applyFill="1" applyAlignment="1" applyProtection="1">
      <protection hidden="1"/>
    </xf>
    <xf numFmtId="164" fontId="11" fillId="35" borderId="0" xfId="76" applyNumberFormat="1" applyFont="1" applyFill="1" applyBorder="1" applyAlignment="1" applyProtection="1">
      <alignment horizontal="left" vertical="top"/>
      <protection hidden="1"/>
    </xf>
    <xf numFmtId="0" fontId="3" fillId="0" borderId="17" xfId="0" applyFont="1" applyBorder="1" applyAlignment="1" applyProtection="1">
      <alignment wrapText="1"/>
      <protection hidden="1"/>
    </xf>
    <xf numFmtId="164" fontId="3" fillId="35" borderId="0" xfId="76" applyNumberFormat="1" applyFont="1" applyFill="1" applyAlignment="1" applyProtection="1">
      <protection hidden="1"/>
    </xf>
    <xf numFmtId="0" fontId="3" fillId="35" borderId="193" xfId="0" applyFont="1" applyFill="1" applyBorder="1" applyAlignment="1" applyProtection="1">
      <alignment horizontal="center"/>
      <protection hidden="1"/>
    </xf>
    <xf numFmtId="0" fontId="11" fillId="35" borderId="193" xfId="0" applyFont="1" applyFill="1" applyBorder="1" applyAlignment="1" applyProtection="1">
      <alignment horizontal="center"/>
      <protection hidden="1"/>
    </xf>
    <xf numFmtId="1" fontId="3" fillId="51" borderId="21" xfId="74" applyNumberFormat="1" applyFont="1" applyFill="1" applyBorder="1" applyAlignment="1" applyProtection="1">
      <protection hidden="1"/>
    </xf>
    <xf numFmtId="1" fontId="3" fillId="51" borderId="22" xfId="74" applyNumberFormat="1" applyFont="1" applyFill="1" applyBorder="1" applyAlignment="1" applyProtection="1">
      <protection hidden="1"/>
    </xf>
    <xf numFmtId="1" fontId="3" fillId="51" borderId="19" xfId="74" applyNumberFormat="1" applyFont="1" applyFill="1" applyBorder="1" applyAlignment="1" applyProtection="1">
      <protection hidden="1"/>
    </xf>
    <xf numFmtId="0" fontId="20" fillId="51" borderId="0" xfId="70" applyFont="1" applyFill="1" applyAlignment="1" applyProtection="1">
      <alignment horizontal="right"/>
      <protection hidden="1"/>
    </xf>
    <xf numFmtId="0" fontId="20" fillId="51" borderId="15" xfId="70" applyFont="1" applyFill="1" applyBorder="1" applyAlignment="1" applyProtection="1">
      <alignment horizontal="right"/>
      <protection hidden="1"/>
    </xf>
    <xf numFmtId="2" fontId="3" fillId="51" borderId="0" xfId="76" applyNumberFormat="1" applyFont="1" applyFill="1" applyAlignment="1" applyProtection="1">
      <protection hidden="1"/>
    </xf>
    <xf numFmtId="164" fontId="3" fillId="51" borderId="0" xfId="76" applyNumberFormat="1" applyFont="1" applyFill="1" applyAlignment="1" applyProtection="1">
      <protection hidden="1"/>
    </xf>
    <xf numFmtId="0" fontId="3" fillId="51" borderId="0" xfId="86" applyFont="1" applyFill="1" applyAlignment="1" applyProtection="1">
      <alignment horizontal="left"/>
      <protection hidden="1"/>
    </xf>
    <xf numFmtId="0" fontId="11" fillId="51" borderId="0" xfId="0" quotePrefix="1" applyFont="1" applyFill="1" applyAlignment="1" applyProtection="1">
      <alignment horizontal="center" vertical="top"/>
      <protection hidden="1"/>
    </xf>
    <xf numFmtId="0" fontId="11" fillId="51" borderId="0" xfId="0" applyFont="1" applyFill="1" applyAlignment="1" applyProtection="1">
      <alignment horizontal="center" vertical="top"/>
      <protection hidden="1"/>
    </xf>
    <xf numFmtId="0" fontId="3" fillId="51" borderId="0" xfId="92" applyFont="1" applyFill="1" applyBorder="1" applyAlignment="1" applyProtection="1">
      <alignment horizontal="right"/>
      <protection hidden="1"/>
    </xf>
    <xf numFmtId="0" fontId="34" fillId="35" borderId="0" xfId="86" applyFont="1" applyFill="1" applyAlignment="1" applyProtection="1">
      <alignment horizontal="left"/>
      <protection hidden="1"/>
    </xf>
    <xf numFmtId="0" fontId="3" fillId="35" borderId="0" xfId="74" applyFont="1" applyFill="1" applyBorder="1" applyAlignment="1" applyProtection="1">
      <alignment horizontal="left" vertical="center" wrapText="1"/>
      <protection hidden="1"/>
    </xf>
    <xf numFmtId="0" fontId="11" fillId="51" borderId="0" xfId="0" applyFont="1" applyFill="1" applyProtection="1">
      <protection hidden="1"/>
    </xf>
    <xf numFmtId="0" fontId="3" fillId="0" borderId="21" xfId="0" applyFont="1" applyBorder="1" applyAlignment="1" applyProtection="1">
      <alignment horizontal="center" wrapText="1"/>
      <protection hidden="1"/>
    </xf>
    <xf numFmtId="0" fontId="3" fillId="0" borderId="22" xfId="0" applyFont="1" applyBorder="1" applyAlignment="1" applyProtection="1">
      <alignment horizontal="center" wrapText="1"/>
      <protection hidden="1"/>
    </xf>
    <xf numFmtId="0" fontId="3" fillId="0" borderId="19" xfId="0" applyFont="1" applyBorder="1" applyAlignment="1" applyProtection="1">
      <alignment horizontal="center" wrapText="1"/>
      <protection hidden="1"/>
    </xf>
    <xf numFmtId="0" fontId="3" fillId="35" borderId="0" xfId="76" applyFont="1" applyFill="1" applyAlignment="1" applyProtection="1">
      <protection hidden="1"/>
    </xf>
    <xf numFmtId="0" fontId="3" fillId="0" borderId="0" xfId="0" applyFont="1" applyAlignment="1" applyProtection="1">
      <protection hidden="1"/>
    </xf>
    <xf numFmtId="0" fontId="11" fillId="35" borderId="0" xfId="86" applyFont="1" applyFill="1" applyAlignment="1" applyProtection="1">
      <alignment horizontal="right"/>
      <protection hidden="1"/>
    </xf>
    <xf numFmtId="0" fontId="3" fillId="35" borderId="0" xfId="86" applyFont="1" applyFill="1" applyAlignment="1" applyProtection="1">
      <alignment horizontal="left"/>
      <protection hidden="1"/>
    </xf>
    <xf numFmtId="0" fontId="15" fillId="35" borderId="0" xfId="76" applyFont="1" applyFill="1" applyBorder="1" applyAlignment="1" applyProtection="1">
      <alignment horizontal="right"/>
      <protection hidden="1"/>
    </xf>
    <xf numFmtId="0" fontId="3" fillId="0" borderId="0" xfId="0" applyFont="1" applyProtection="1">
      <protection hidden="1"/>
    </xf>
    <xf numFmtId="0" fontId="3" fillId="0" borderId="13" xfId="0" applyFont="1" applyBorder="1" applyProtection="1">
      <protection hidden="1"/>
    </xf>
    <xf numFmtId="0" fontId="3" fillId="0" borderId="15" xfId="0" applyFont="1" applyBorder="1" applyProtection="1">
      <protection hidden="1"/>
    </xf>
    <xf numFmtId="0" fontId="15" fillId="35" borderId="0" xfId="76" applyFont="1" applyFill="1" applyBorder="1" applyAlignment="1" applyProtection="1">
      <alignment horizontal="left"/>
      <protection hidden="1"/>
    </xf>
    <xf numFmtId="0" fontId="3" fillId="0" borderId="0" xfId="0" applyFont="1" applyAlignment="1" applyProtection="1">
      <alignment horizontal="left"/>
      <protection hidden="1"/>
    </xf>
    <xf numFmtId="164" fontId="3" fillId="51" borderId="0" xfId="76" applyNumberFormat="1" applyFont="1" applyFill="1" applyAlignment="1" applyProtection="1">
      <alignment horizontal="left"/>
      <protection hidden="1"/>
    </xf>
    <xf numFmtId="0" fontId="3" fillId="35" borderId="0" xfId="76" applyFont="1" applyFill="1" applyBorder="1" applyAlignment="1" applyProtection="1">
      <alignment horizontal="right"/>
      <protection hidden="1"/>
    </xf>
    <xf numFmtId="0" fontId="3" fillId="51" borderId="250" xfId="0" applyFont="1" applyFill="1" applyBorder="1" applyAlignment="1" applyProtection="1">
      <alignment horizontal="center"/>
      <protection hidden="1"/>
    </xf>
    <xf numFmtId="0" fontId="3" fillId="35" borderId="17" xfId="0" applyFont="1" applyFill="1" applyBorder="1" applyAlignment="1" applyProtection="1">
      <alignment horizontal="center" wrapText="1"/>
      <protection hidden="1"/>
    </xf>
    <xf numFmtId="0" fontId="3" fillId="0" borderId="21" xfId="0" applyFont="1" applyBorder="1" applyAlignment="1" applyProtection="1">
      <alignment horizontal="center"/>
      <protection hidden="1"/>
    </xf>
    <xf numFmtId="0" fontId="3" fillId="0" borderId="22" xfId="0" applyFont="1" applyBorder="1" applyAlignment="1" applyProtection="1">
      <alignment horizontal="center"/>
      <protection hidden="1"/>
    </xf>
    <xf numFmtId="164" fontId="13" fillId="51" borderId="0" xfId="76" applyNumberFormat="1" applyFont="1" applyFill="1" applyAlignment="1" applyProtection="1">
      <alignment horizontal="left"/>
      <protection hidden="1"/>
    </xf>
    <xf numFmtId="1" fontId="13" fillId="35" borderId="47" xfId="76" applyNumberFormat="1" applyFont="1" applyFill="1" applyBorder="1" applyAlignment="1" applyProtection="1">
      <alignment horizontal="center"/>
      <protection hidden="1"/>
    </xf>
    <xf numFmtId="1" fontId="13" fillId="35" borderId="35" xfId="76" applyNumberFormat="1" applyFont="1" applyFill="1" applyBorder="1" applyAlignment="1" applyProtection="1">
      <alignment horizontal="center"/>
      <protection hidden="1"/>
    </xf>
    <xf numFmtId="164" fontId="3" fillId="35" borderId="0" xfId="76" applyNumberFormat="1" applyFont="1" applyFill="1" applyAlignment="1" applyProtection="1">
      <alignment horizontal="left"/>
      <protection hidden="1"/>
    </xf>
    <xf numFmtId="164" fontId="3" fillId="81" borderId="0" xfId="71" applyNumberFormat="1" applyFont="1" applyFill="1" applyAlignment="1" applyProtection="1">
      <alignment horizontal="left"/>
      <protection hidden="1"/>
    </xf>
    <xf numFmtId="0" fontId="11" fillId="35" borderId="0" xfId="71" applyFont="1" applyFill="1" applyAlignment="1" applyProtection="1">
      <alignment horizontal="left"/>
      <protection hidden="1"/>
    </xf>
    <xf numFmtId="0" fontId="3" fillId="0" borderId="10" xfId="0" applyFont="1" applyFill="1" applyBorder="1" applyProtection="1">
      <protection hidden="1"/>
    </xf>
    <xf numFmtId="0" fontId="3" fillId="0" borderId="18" xfId="0" applyFont="1" applyFill="1" applyBorder="1" applyProtection="1">
      <protection hidden="1"/>
    </xf>
    <xf numFmtId="0" fontId="3" fillId="35" borderId="0" xfId="71" applyFont="1" applyFill="1" applyAlignment="1" applyProtection="1">
      <protection hidden="1"/>
    </xf>
    <xf numFmtId="0" fontId="3" fillId="0" borderId="10" xfId="0" applyFont="1" applyBorder="1" applyProtection="1">
      <protection hidden="1"/>
    </xf>
    <xf numFmtId="0" fontId="3" fillId="0" borderId="24" xfId="0" applyFont="1" applyBorder="1" applyProtection="1">
      <protection hidden="1"/>
    </xf>
    <xf numFmtId="0" fontId="13" fillId="35" borderId="0" xfId="86" applyFont="1" applyFill="1" applyAlignment="1" applyProtection="1">
      <alignment horizontal="right"/>
      <protection hidden="1"/>
    </xf>
    <xf numFmtId="0" fontId="13" fillId="35" borderId="29" xfId="86" applyFont="1" applyFill="1" applyBorder="1" applyAlignment="1" applyProtection="1">
      <alignment horizontal="right"/>
      <protection hidden="1"/>
    </xf>
    <xf numFmtId="0" fontId="194" fillId="35" borderId="0" xfId="69" applyFont="1" applyFill="1" applyBorder="1" applyAlignment="1" applyProtection="1">
      <alignment horizontal="center" wrapText="1"/>
      <protection hidden="1"/>
    </xf>
    <xf numFmtId="164" fontId="3" fillId="81" borderId="0" xfId="71" applyNumberFormat="1" applyFont="1" applyFill="1" applyBorder="1" applyAlignment="1" applyProtection="1">
      <alignment horizontal="left"/>
      <protection hidden="1"/>
    </xf>
    <xf numFmtId="1" fontId="3" fillId="35" borderId="277" xfId="76" applyNumberFormat="1" applyFont="1" applyFill="1" applyBorder="1" applyAlignment="1" applyProtection="1">
      <alignment horizontal="center"/>
      <protection hidden="1"/>
    </xf>
    <xf numFmtId="0" fontId="3" fillId="0" borderId="277" xfId="0" applyFont="1" applyBorder="1" applyAlignment="1" applyProtection="1">
      <alignment horizontal="center"/>
      <protection hidden="1"/>
    </xf>
    <xf numFmtId="164" fontId="13" fillId="51" borderId="0" xfId="76" applyNumberFormat="1" applyFont="1" applyFill="1" applyBorder="1" applyAlignment="1" applyProtection="1">
      <alignment horizontal="left"/>
      <protection hidden="1"/>
    </xf>
    <xf numFmtId="0" fontId="3" fillId="35" borderId="0" xfId="0" applyFont="1" applyFill="1" applyAlignment="1" applyProtection="1">
      <alignment horizontal="left"/>
      <protection locked="0"/>
    </xf>
    <xf numFmtId="0" fontId="3" fillId="35" borderId="29" xfId="0" applyFont="1" applyFill="1" applyBorder="1" applyAlignment="1" applyProtection="1">
      <alignment horizontal="left"/>
      <protection locked="0"/>
    </xf>
    <xf numFmtId="0" fontId="11" fillId="73" borderId="18" xfId="0" applyFont="1" applyFill="1" applyBorder="1" applyProtection="1">
      <protection locked="0"/>
    </xf>
    <xf numFmtId="0" fontId="3" fillId="35" borderId="14" xfId="0" applyFont="1" applyFill="1" applyBorder="1" applyProtection="1">
      <protection hidden="1"/>
    </xf>
    <xf numFmtId="0" fontId="3" fillId="35" borderId="23" xfId="0" applyFont="1" applyFill="1" applyBorder="1" applyProtection="1">
      <protection hidden="1"/>
    </xf>
    <xf numFmtId="0" fontId="3" fillId="35" borderId="0" xfId="86" applyFont="1" applyFill="1" applyAlignment="1" applyProtection="1">
      <protection hidden="1"/>
    </xf>
    <xf numFmtId="0" fontId="3" fillId="35" borderId="29" xfId="86" applyFont="1" applyFill="1" applyBorder="1" applyAlignment="1" applyProtection="1">
      <protection hidden="1"/>
    </xf>
    <xf numFmtId="0" fontId="11" fillId="35" borderId="0" xfId="86" applyFont="1" applyFill="1" applyAlignment="1" applyProtection="1">
      <protection hidden="1"/>
    </xf>
    <xf numFmtId="0" fontId="3" fillId="0" borderId="0" xfId="71" applyFont="1" applyAlignment="1" applyProtection="1">
      <alignment horizontal="left"/>
      <protection hidden="1"/>
    </xf>
    <xf numFmtId="0" fontId="3" fillId="35" borderId="20" xfId="76" applyFont="1" applyFill="1" applyBorder="1" applyAlignment="1" applyProtection="1">
      <alignment horizontal="right"/>
      <protection hidden="1"/>
    </xf>
    <xf numFmtId="0" fontId="3" fillId="35" borderId="14" xfId="0" applyFont="1" applyFill="1" applyBorder="1" applyAlignment="1" applyProtection="1">
      <alignment horizontal="right"/>
      <protection hidden="1"/>
    </xf>
    <xf numFmtId="0" fontId="3" fillId="35" borderId="18" xfId="76" applyFont="1" applyFill="1" applyBorder="1" applyAlignment="1" applyProtection="1">
      <protection hidden="1"/>
    </xf>
    <xf numFmtId="0" fontId="3" fillId="35" borderId="24" xfId="76" applyFont="1" applyFill="1" applyBorder="1" applyAlignment="1" applyProtection="1">
      <protection hidden="1"/>
    </xf>
    <xf numFmtId="0" fontId="52" fillId="35" borderId="0" xfId="46" applyFont="1" applyFill="1" applyBorder="1" applyAlignment="1" applyProtection="1">
      <alignment horizontal="center" wrapText="1"/>
      <protection hidden="1"/>
    </xf>
    <xf numFmtId="1" fontId="3" fillId="35" borderId="14" xfId="0" applyNumberFormat="1" applyFont="1" applyFill="1" applyBorder="1" applyProtection="1">
      <protection hidden="1"/>
    </xf>
    <xf numFmtId="2" fontId="3" fillId="35" borderId="0" xfId="76" applyNumberFormat="1" applyFont="1" applyFill="1" applyAlignment="1" applyProtection="1">
      <alignment horizontal="left"/>
      <protection hidden="1"/>
    </xf>
    <xf numFmtId="0" fontId="266" fillId="77" borderId="277" xfId="86" applyFont="1" applyFill="1" applyBorder="1" applyAlignment="1" applyProtection="1">
      <alignment horizontal="center" vertical="center"/>
    </xf>
    <xf numFmtId="0" fontId="3" fillId="35" borderId="14" xfId="76" applyFont="1" applyFill="1" applyBorder="1" applyAlignment="1" applyProtection="1">
      <protection hidden="1"/>
    </xf>
    <xf numFmtId="0" fontId="40" fillId="0" borderId="277" xfId="86" applyFont="1" applyBorder="1" applyAlignment="1" applyProtection="1">
      <alignment horizontal="center" vertical="center" wrapText="1"/>
      <protection hidden="1"/>
    </xf>
    <xf numFmtId="0" fontId="3" fillId="0" borderId="277" xfId="0" applyFont="1" applyBorder="1" applyAlignment="1" applyProtection="1">
      <alignment horizontal="center" vertical="center" wrapText="1"/>
      <protection hidden="1"/>
    </xf>
    <xf numFmtId="2" fontId="13" fillId="35" borderId="0" xfId="76" applyNumberFormat="1" applyFont="1" applyFill="1" applyBorder="1" applyAlignment="1" applyProtection="1">
      <alignment horizontal="right" vertical="center"/>
      <protection hidden="1"/>
    </xf>
    <xf numFmtId="2" fontId="13" fillId="35" borderId="29" xfId="76" applyNumberFormat="1" applyFont="1" applyFill="1" applyBorder="1" applyAlignment="1" applyProtection="1">
      <alignment horizontal="right" vertical="center"/>
      <protection hidden="1"/>
    </xf>
    <xf numFmtId="0" fontId="184" fillId="51" borderId="0" xfId="107" applyFont="1" applyFill="1" applyBorder="1" applyAlignment="1" applyProtection="1">
      <alignment horizontal="right"/>
      <protection hidden="1"/>
    </xf>
    <xf numFmtId="0" fontId="184" fillId="51" borderId="29" xfId="107" applyFont="1" applyFill="1" applyBorder="1" applyAlignment="1" applyProtection="1">
      <alignment horizontal="right"/>
      <protection hidden="1"/>
    </xf>
    <xf numFmtId="164" fontId="87" fillId="35" borderId="0" xfId="76" applyNumberFormat="1" applyFont="1" applyFill="1" applyAlignment="1" applyProtection="1">
      <alignment horizontal="left"/>
      <protection hidden="1"/>
    </xf>
    <xf numFmtId="0" fontId="13" fillId="0" borderId="0" xfId="106" applyFont="1" applyAlignment="1" applyProtection="1">
      <protection hidden="1"/>
    </xf>
    <xf numFmtId="0" fontId="3" fillId="0" borderId="0" xfId="86" applyFont="1" applyAlignment="1" applyProtection="1">
      <protection hidden="1"/>
    </xf>
    <xf numFmtId="0" fontId="13" fillId="35" borderId="27" xfId="0" applyFont="1" applyFill="1" applyBorder="1" applyAlignment="1" applyProtection="1">
      <alignment horizontal="center" wrapText="1"/>
      <protection hidden="1"/>
    </xf>
    <xf numFmtId="0" fontId="13" fillId="35" borderId="25" xfId="0" applyFont="1" applyFill="1" applyBorder="1" applyAlignment="1" applyProtection="1">
      <alignment horizontal="center" wrapText="1"/>
      <protection hidden="1"/>
    </xf>
    <xf numFmtId="0" fontId="13" fillId="35" borderId="30" xfId="0" applyFont="1" applyFill="1" applyBorder="1" applyAlignment="1" applyProtection="1">
      <alignment horizontal="center" wrapText="1"/>
      <protection hidden="1"/>
    </xf>
    <xf numFmtId="0" fontId="13" fillId="35" borderId="31" xfId="0" applyFont="1" applyFill="1" applyBorder="1" applyAlignment="1" applyProtection="1">
      <alignment horizontal="center" wrapText="1"/>
      <protection hidden="1"/>
    </xf>
    <xf numFmtId="0" fontId="13" fillId="35" borderId="26" xfId="0" applyFont="1" applyFill="1" applyBorder="1" applyAlignment="1" applyProtection="1">
      <alignment horizontal="center" wrapText="1"/>
      <protection hidden="1"/>
    </xf>
    <xf numFmtId="0" fontId="13" fillId="35" borderId="32" xfId="0" applyFont="1" applyFill="1" applyBorder="1" applyAlignment="1" applyProtection="1">
      <alignment horizontal="center" wrapText="1"/>
      <protection hidden="1"/>
    </xf>
    <xf numFmtId="49" fontId="13" fillId="35" borderId="28" xfId="76" applyNumberFormat="1" applyFont="1" applyFill="1" applyBorder="1" applyAlignment="1" applyProtection="1">
      <alignment horizontal="center"/>
      <protection hidden="1"/>
    </xf>
    <xf numFmtId="49" fontId="13" fillId="35" borderId="29" xfId="76" applyNumberFormat="1" applyFont="1" applyFill="1" applyBorder="1" applyAlignment="1" applyProtection="1">
      <alignment horizontal="center"/>
      <protection hidden="1"/>
    </xf>
    <xf numFmtId="0" fontId="13" fillId="35" borderId="28" xfId="0" applyFont="1" applyFill="1" applyBorder="1" applyAlignment="1" applyProtection="1">
      <alignment horizontal="center"/>
      <protection hidden="1"/>
    </xf>
    <xf numFmtId="0" fontId="13" fillId="35" borderId="29" xfId="0" applyFont="1" applyFill="1" applyBorder="1" applyAlignment="1" applyProtection="1">
      <alignment horizontal="center"/>
      <protection hidden="1"/>
    </xf>
    <xf numFmtId="0" fontId="13" fillId="35" borderId="30" xfId="0" applyFont="1" applyFill="1" applyBorder="1" applyAlignment="1" applyProtection="1">
      <alignment horizontal="center"/>
      <protection hidden="1"/>
    </xf>
    <xf numFmtId="0" fontId="13" fillId="35" borderId="32" xfId="0" applyFont="1" applyFill="1" applyBorder="1" applyAlignment="1" applyProtection="1">
      <alignment horizontal="center"/>
      <protection hidden="1"/>
    </xf>
    <xf numFmtId="0" fontId="13" fillId="35" borderId="31" xfId="0" applyFont="1" applyFill="1" applyBorder="1" applyAlignment="1" applyProtection="1">
      <alignment horizontal="center"/>
      <protection hidden="1"/>
    </xf>
    <xf numFmtId="0" fontId="13" fillId="35" borderId="30" xfId="0" applyFont="1" applyFill="1" applyBorder="1" applyAlignment="1" applyProtection="1">
      <protection hidden="1"/>
    </xf>
    <xf numFmtId="0" fontId="13" fillId="35" borderId="32" xfId="0" applyFont="1" applyFill="1" applyBorder="1" applyAlignment="1" applyProtection="1">
      <protection hidden="1"/>
    </xf>
    <xf numFmtId="0" fontId="13" fillId="0" borderId="0" xfId="106" applyFont="1" applyAlignment="1" applyProtection="1">
      <alignment wrapText="1"/>
      <protection hidden="1"/>
    </xf>
    <xf numFmtId="0" fontId="3" fillId="0" borderId="0" xfId="84" applyFont="1" applyFill="1" applyBorder="1" applyAlignment="1" applyProtection="1">
      <protection hidden="1"/>
    </xf>
    <xf numFmtId="0" fontId="3" fillId="0" borderId="29" xfId="84" applyFont="1" applyFill="1" applyBorder="1" applyAlignment="1" applyProtection="1">
      <protection hidden="1"/>
    </xf>
    <xf numFmtId="164" fontId="184" fillId="0" borderId="0" xfId="76" applyNumberFormat="1" applyFont="1" applyFill="1" applyAlignment="1" applyProtection="1">
      <alignment horizontal="center" vertical="center" wrapText="1"/>
      <protection hidden="1"/>
    </xf>
    <xf numFmtId="0" fontId="11" fillId="0" borderId="28" xfId="75" applyFont="1" applyFill="1" applyBorder="1" applyAlignment="1" applyProtection="1">
      <protection hidden="1"/>
    </xf>
    <xf numFmtId="0" fontId="11" fillId="0" borderId="0" xfId="75" applyFont="1" applyFill="1" applyBorder="1" applyAlignment="1" applyProtection="1">
      <protection hidden="1"/>
    </xf>
    <xf numFmtId="1" fontId="3" fillId="0" borderId="0" xfId="86" applyNumberFormat="1" applyFont="1" applyAlignment="1" applyProtection="1">
      <alignment horizontal="left"/>
      <protection hidden="1"/>
    </xf>
    <xf numFmtId="0" fontId="13" fillId="0" borderId="87" xfId="86" applyFont="1" applyFill="1" applyBorder="1" applyAlignment="1" applyProtection="1">
      <alignment horizontal="center"/>
      <protection hidden="1"/>
    </xf>
    <xf numFmtId="0" fontId="13" fillId="0" borderId="87" xfId="0" applyFont="1" applyFill="1" applyBorder="1" applyAlignment="1" applyProtection="1">
      <alignment horizontal="center"/>
      <protection hidden="1"/>
    </xf>
    <xf numFmtId="0" fontId="13" fillId="0" borderId="86" xfId="0" applyFont="1" applyFill="1" applyBorder="1" applyAlignment="1" applyProtection="1">
      <alignment horizontal="center"/>
      <protection hidden="1"/>
    </xf>
    <xf numFmtId="0" fontId="3" fillId="0" borderId="18" xfId="76" applyFont="1" applyFill="1" applyBorder="1" applyAlignment="1" applyProtection="1">
      <alignment horizontal="center"/>
      <protection hidden="1"/>
    </xf>
    <xf numFmtId="0" fontId="13" fillId="0" borderId="0" xfId="106" applyFont="1" applyAlignment="1" applyProtection="1">
      <alignment horizontal="left"/>
      <protection hidden="1"/>
    </xf>
    <xf numFmtId="0" fontId="13" fillId="0" borderId="25" xfId="76" applyFont="1" applyFill="1" applyBorder="1" applyAlignment="1" applyProtection="1">
      <alignment horizontal="left" vertical="top"/>
      <protection hidden="1"/>
    </xf>
    <xf numFmtId="0" fontId="13" fillId="0" borderId="0" xfId="0" applyFont="1" applyFill="1" applyBorder="1" applyAlignment="1" applyProtection="1">
      <alignment horizontal="center"/>
      <protection hidden="1"/>
    </xf>
    <xf numFmtId="0" fontId="13" fillId="35" borderId="28" xfId="0" applyFont="1" applyFill="1" applyBorder="1" applyAlignment="1" applyProtection="1">
      <protection hidden="1"/>
    </xf>
    <xf numFmtId="0" fontId="13" fillId="35" borderId="29" xfId="0" applyFont="1" applyFill="1" applyBorder="1" applyAlignment="1" applyProtection="1">
      <protection hidden="1"/>
    </xf>
    <xf numFmtId="0" fontId="13" fillId="35" borderId="0" xfId="0" applyFont="1" applyFill="1" applyBorder="1" applyAlignment="1" applyProtection="1">
      <alignment horizontal="center"/>
      <protection hidden="1"/>
    </xf>
    <xf numFmtId="0" fontId="13" fillId="35" borderId="27" xfId="0" applyFont="1" applyFill="1" applyBorder="1" applyAlignment="1" applyProtection="1">
      <protection hidden="1"/>
    </xf>
    <xf numFmtId="0" fontId="13" fillId="35" borderId="26" xfId="0" applyFont="1" applyFill="1" applyBorder="1" applyAlignment="1" applyProtection="1">
      <protection hidden="1"/>
    </xf>
    <xf numFmtId="14" fontId="3" fillId="35" borderId="14" xfId="71" applyNumberFormat="1" applyFont="1" applyFill="1" applyBorder="1" applyAlignment="1" applyProtection="1">
      <protection hidden="1"/>
    </xf>
    <xf numFmtId="0" fontId="3" fillId="35" borderId="0" xfId="79" applyFont="1" applyFill="1" applyBorder="1" applyAlignment="1" applyProtection="1">
      <alignment horizontal="left"/>
      <protection hidden="1"/>
    </xf>
    <xf numFmtId="0" fontId="3" fillId="35" borderId="0" xfId="79" applyFont="1" applyFill="1" applyAlignment="1" applyProtection="1">
      <alignment horizontal="left"/>
      <protection hidden="1"/>
    </xf>
    <xf numFmtId="164" fontId="3" fillId="35" borderId="0" xfId="76" applyNumberFormat="1" applyFont="1" applyFill="1" applyProtection="1">
      <protection hidden="1"/>
    </xf>
    <xf numFmtId="0" fontId="3" fillId="35" borderId="167" xfId="76" applyFont="1" applyFill="1" applyBorder="1" applyAlignment="1" applyProtection="1">
      <alignment horizontal="left" vertical="center"/>
      <protection hidden="1"/>
    </xf>
    <xf numFmtId="0" fontId="3" fillId="35" borderId="0" xfId="76" applyFont="1" applyFill="1" applyBorder="1" applyAlignment="1" applyProtection="1">
      <alignment horizontal="left" vertical="center"/>
      <protection hidden="1"/>
    </xf>
    <xf numFmtId="0" fontId="47" fillId="35" borderId="0" xfId="67" applyFont="1" applyFill="1" applyAlignment="1" applyProtection="1">
      <alignment horizontal="left"/>
      <protection hidden="1"/>
    </xf>
    <xf numFmtId="0" fontId="52" fillId="35" borderId="0" xfId="46" applyFont="1" applyFill="1" applyAlignment="1" applyProtection="1">
      <alignment horizontal="center"/>
      <protection hidden="1"/>
    </xf>
    <xf numFmtId="0" fontId="256" fillId="35" borderId="0" xfId="0" applyFont="1" applyFill="1" applyAlignment="1" applyProtection="1">
      <protection hidden="1"/>
    </xf>
    <xf numFmtId="0" fontId="34" fillId="35" borderId="0" xfId="76" applyFont="1" applyFill="1" applyAlignment="1" applyProtection="1">
      <alignment horizontal="left"/>
      <protection hidden="1"/>
    </xf>
    <xf numFmtId="0" fontId="115" fillId="35" borderId="0" xfId="50" applyFont="1" applyFill="1" applyAlignment="1" applyProtection="1">
      <alignment horizontal="right"/>
      <protection hidden="1"/>
    </xf>
    <xf numFmtId="0" fontId="40" fillId="7" borderId="0" xfId="0" applyFont="1" applyFill="1" applyAlignment="1" applyProtection="1">
      <protection locked="0"/>
    </xf>
    <xf numFmtId="0" fontId="86" fillId="35" borderId="0" xfId="76" applyFont="1" applyFill="1" applyAlignment="1" applyProtection="1">
      <alignment horizontal="center"/>
      <protection hidden="1"/>
    </xf>
    <xf numFmtId="49" fontId="121" fillId="0" borderId="31" xfId="86" applyNumberFormat="1" applyFont="1" applyFill="1" applyBorder="1" applyAlignment="1" applyProtection="1">
      <protection hidden="1"/>
    </xf>
    <xf numFmtId="0" fontId="13" fillId="35" borderId="27" xfId="0" applyFont="1" applyFill="1" applyBorder="1" applyAlignment="1" applyProtection="1">
      <alignment wrapText="1"/>
      <protection hidden="1"/>
    </xf>
    <xf numFmtId="0" fontId="13" fillId="35" borderId="26" xfId="0" applyFont="1" applyFill="1" applyBorder="1" applyAlignment="1" applyProtection="1">
      <alignment wrapText="1"/>
      <protection hidden="1"/>
    </xf>
    <xf numFmtId="0" fontId="13" fillId="35" borderId="30" xfId="0" applyFont="1" applyFill="1" applyBorder="1" applyAlignment="1" applyProtection="1">
      <alignment wrapText="1"/>
      <protection hidden="1"/>
    </xf>
    <xf numFmtId="0" fontId="13" fillId="35" borderId="32" xfId="0" applyFont="1" applyFill="1" applyBorder="1" applyAlignment="1" applyProtection="1">
      <alignment wrapText="1"/>
      <protection hidden="1"/>
    </xf>
    <xf numFmtId="0" fontId="184" fillId="0" borderId="0" xfId="76" applyFont="1" applyAlignment="1" applyProtection="1">
      <alignment horizontal="center"/>
      <protection hidden="1"/>
    </xf>
    <xf numFmtId="1" fontId="3" fillId="0" borderId="0" xfId="86" applyNumberFormat="1" applyFont="1" applyAlignment="1" applyProtection="1">
      <protection hidden="1"/>
    </xf>
    <xf numFmtId="14" fontId="11" fillId="0" borderId="13" xfId="71" applyNumberFormat="1" applyFont="1" applyFill="1" applyBorder="1" applyAlignment="1" applyProtection="1">
      <protection hidden="1"/>
    </xf>
    <xf numFmtId="14" fontId="11" fillId="0" borderId="0" xfId="71" applyNumberFormat="1" applyFont="1" applyFill="1" applyBorder="1" applyAlignment="1" applyProtection="1">
      <protection hidden="1"/>
    </xf>
    <xf numFmtId="14" fontId="11" fillId="0" borderId="29" xfId="71" applyNumberFormat="1" applyFont="1" applyFill="1" applyBorder="1" applyAlignment="1" applyProtection="1">
      <protection hidden="1"/>
    </xf>
    <xf numFmtId="0" fontId="13" fillId="0" borderId="0" xfId="86"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29" xfId="0" applyFont="1" applyFill="1" applyBorder="1" applyAlignment="1" applyProtection="1">
      <alignment horizontal="center"/>
      <protection locked="0"/>
    </xf>
    <xf numFmtId="0" fontId="11" fillId="0" borderId="13" xfId="75" applyFont="1" applyFill="1" applyBorder="1" applyAlignment="1" applyProtection="1">
      <alignment horizontal="left"/>
      <protection hidden="1"/>
    </xf>
    <xf numFmtId="0" fontId="11" fillId="0" borderId="0" xfId="75" applyFont="1" applyFill="1" applyBorder="1" applyAlignment="1" applyProtection="1">
      <alignment horizontal="left"/>
      <protection hidden="1"/>
    </xf>
    <xf numFmtId="0" fontId="11" fillId="0" borderId="29" xfId="75" applyFont="1" applyFill="1" applyBorder="1" applyAlignment="1" applyProtection="1">
      <alignment horizontal="left"/>
      <protection hidden="1"/>
    </xf>
    <xf numFmtId="0" fontId="13" fillId="0" borderId="0" xfId="86" applyFont="1" applyFill="1" applyBorder="1" applyAlignment="1" applyProtection="1">
      <alignment horizontal="center"/>
      <protection hidden="1"/>
    </xf>
    <xf numFmtId="0" fontId="13" fillId="0" borderId="29" xfId="0" applyFont="1" applyFill="1" applyBorder="1" applyAlignment="1" applyProtection="1">
      <alignment horizontal="center"/>
      <protection hidden="1"/>
    </xf>
    <xf numFmtId="0" fontId="3" fillId="0" borderId="0" xfId="67" applyFont="1" applyFill="1" applyBorder="1" applyProtection="1">
      <protection hidden="1"/>
    </xf>
    <xf numFmtId="0" fontId="3" fillId="0" borderId="15" xfId="67" applyFont="1" applyFill="1" applyBorder="1" applyProtection="1">
      <protection hidden="1"/>
    </xf>
    <xf numFmtId="1" fontId="3" fillId="0" borderId="13" xfId="76" applyNumberFormat="1" applyFont="1" applyFill="1" applyBorder="1" applyAlignment="1" applyProtection="1">
      <protection hidden="1"/>
    </xf>
    <xf numFmtId="1" fontId="3" fillId="0" borderId="0" xfId="76" applyNumberFormat="1" applyFont="1" applyFill="1" applyBorder="1" applyAlignment="1" applyProtection="1">
      <protection hidden="1"/>
    </xf>
    <xf numFmtId="1" fontId="3" fillId="0" borderId="15" xfId="76" applyNumberFormat="1" applyFont="1" applyFill="1" applyBorder="1" applyAlignment="1" applyProtection="1">
      <protection hidden="1"/>
    </xf>
    <xf numFmtId="0" fontId="3" fillId="0" borderId="0" xfId="76" applyFont="1" applyFill="1" applyBorder="1" applyAlignment="1" applyProtection="1">
      <alignment horizontal="center"/>
      <protection hidden="1"/>
    </xf>
    <xf numFmtId="0" fontId="11" fillId="0" borderId="167" xfId="76" applyFont="1" applyFill="1" applyBorder="1" applyAlignment="1" applyProtection="1">
      <alignment horizontal="left"/>
      <protection hidden="1"/>
    </xf>
    <xf numFmtId="0" fontId="11" fillId="0" borderId="0" xfId="76" applyFont="1" applyFill="1" applyBorder="1" applyAlignment="1" applyProtection="1">
      <alignment horizontal="left"/>
      <protection hidden="1"/>
    </xf>
    <xf numFmtId="0" fontId="3" fillId="51" borderId="0" xfId="76" applyFont="1" applyFill="1" applyBorder="1" applyAlignment="1" applyProtection="1">
      <alignment horizontal="center"/>
      <protection hidden="1"/>
    </xf>
    <xf numFmtId="164" fontId="3" fillId="51" borderId="0" xfId="76" applyNumberFormat="1" applyFont="1" applyFill="1" applyBorder="1" applyAlignment="1" applyProtection="1">
      <alignment horizontal="left"/>
      <protection hidden="1"/>
    </xf>
    <xf numFmtId="2" fontId="3" fillId="35" borderId="0" xfId="86" applyNumberFormat="1" applyFont="1" applyFill="1" applyBorder="1" applyAlignment="1" applyProtection="1">
      <alignment horizontal="left"/>
      <protection hidden="1"/>
    </xf>
    <xf numFmtId="164" fontId="3" fillId="35" borderId="0" xfId="76" applyNumberFormat="1" applyFont="1" applyFill="1" applyBorder="1" applyAlignment="1" applyProtection="1">
      <alignment horizontal="left"/>
      <protection hidden="1"/>
    </xf>
    <xf numFmtId="0" fontId="13" fillId="35" borderId="34" xfId="86" applyFont="1" applyFill="1" applyBorder="1" applyAlignment="1" applyProtection="1">
      <alignment horizontal="center" wrapText="1"/>
      <protection hidden="1"/>
    </xf>
    <xf numFmtId="0" fontId="13" fillId="35" borderId="35" xfId="86" applyFont="1" applyFill="1" applyBorder="1" applyAlignment="1" applyProtection="1">
      <alignment horizontal="center" wrapText="1"/>
      <protection hidden="1"/>
    </xf>
    <xf numFmtId="2" fontId="11" fillId="35" borderId="18" xfId="86" applyNumberFormat="1" applyFont="1" applyFill="1" applyBorder="1" applyAlignment="1" applyProtection="1">
      <alignment vertical="top" wrapText="1"/>
      <protection hidden="1"/>
    </xf>
    <xf numFmtId="2" fontId="11" fillId="35" borderId="0" xfId="86" applyNumberFormat="1" applyFont="1" applyFill="1" applyBorder="1" applyAlignment="1" applyProtection="1">
      <alignment vertical="top" wrapText="1"/>
      <protection hidden="1"/>
    </xf>
    <xf numFmtId="0" fontId="3" fillId="51" borderId="0" xfId="86" applyFont="1" applyFill="1" applyBorder="1" applyAlignment="1" applyProtection="1">
      <alignment horizontal="left"/>
      <protection hidden="1"/>
    </xf>
    <xf numFmtId="0" fontId="291" fillId="0" borderId="0" xfId="0" applyFont="1" applyAlignment="1" applyProtection="1">
      <alignment horizontal="left" readingOrder="1"/>
      <protection hidden="1"/>
    </xf>
    <xf numFmtId="0" fontId="20" fillId="51" borderId="0" xfId="0" applyFont="1" applyFill="1" applyBorder="1" applyAlignment="1" applyProtection="1">
      <alignment horizontal="right"/>
      <protection hidden="1"/>
    </xf>
    <xf numFmtId="0" fontId="20" fillId="51" borderId="15" xfId="0" applyFont="1" applyFill="1" applyBorder="1" applyAlignment="1" applyProtection="1">
      <alignment horizontal="right"/>
      <protection hidden="1"/>
    </xf>
    <xf numFmtId="0" fontId="3" fillId="51" borderId="183" xfId="74" applyFont="1" applyFill="1" applyBorder="1" applyAlignment="1" applyProtection="1">
      <protection hidden="1"/>
    </xf>
    <xf numFmtId="0" fontId="3" fillId="51" borderId="184" xfId="74" applyFont="1" applyFill="1" applyBorder="1" applyAlignment="1" applyProtection="1">
      <protection hidden="1"/>
    </xf>
    <xf numFmtId="0" fontId="3" fillId="51" borderId="187" xfId="74" applyFont="1" applyFill="1" applyBorder="1" applyAlignment="1" applyProtection="1">
      <protection hidden="1"/>
    </xf>
    <xf numFmtId="0" fontId="3" fillId="35" borderId="0" xfId="0" applyFont="1" applyFill="1" applyAlignment="1" applyProtection="1">
      <alignment horizontal="right"/>
      <protection hidden="1"/>
    </xf>
    <xf numFmtId="2" fontId="3" fillId="51" borderId="0" xfId="76" applyNumberFormat="1" applyFont="1" applyFill="1" applyAlignment="1" applyProtection="1">
      <alignment horizontal="left"/>
      <protection hidden="1"/>
    </xf>
    <xf numFmtId="2" fontId="3" fillId="51" borderId="0" xfId="86" applyNumberFormat="1" applyFont="1" applyFill="1" applyAlignment="1" applyProtection="1">
      <alignment horizontal="left" readingOrder="1"/>
      <protection hidden="1"/>
    </xf>
    <xf numFmtId="0" fontId="3" fillId="51" borderId="0" xfId="76" applyFont="1" applyFill="1" applyAlignment="1" applyProtection="1">
      <alignment horizontal="right"/>
      <protection hidden="1"/>
    </xf>
    <xf numFmtId="164" fontId="3" fillId="35" borderId="0" xfId="86" applyNumberFormat="1" applyFont="1" applyFill="1" applyAlignment="1" applyProtection="1">
      <alignment horizontal="left"/>
      <protection hidden="1"/>
    </xf>
    <xf numFmtId="2" fontId="3" fillId="35" borderId="0" xfId="86" applyNumberFormat="1" applyFont="1" applyFill="1" applyAlignment="1" applyProtection="1">
      <protection hidden="1"/>
    </xf>
    <xf numFmtId="0" fontId="3" fillId="51" borderId="0" xfId="76" applyFont="1" applyFill="1" applyBorder="1" applyAlignment="1" applyProtection="1">
      <alignment horizontal="right" vertical="center"/>
      <protection hidden="1"/>
    </xf>
    <xf numFmtId="0" fontId="11" fillId="51" borderId="138" xfId="0" applyFont="1" applyFill="1" applyBorder="1" applyAlignment="1" applyProtection="1">
      <alignment horizontal="center" vertical="top" wrapText="1"/>
      <protection hidden="1"/>
    </xf>
    <xf numFmtId="0" fontId="11" fillId="51" borderId="0" xfId="0" applyFont="1" applyFill="1" applyBorder="1" applyAlignment="1" applyProtection="1">
      <alignment horizontal="center" vertical="top" wrapText="1"/>
      <protection hidden="1"/>
    </xf>
    <xf numFmtId="1" fontId="3" fillId="51" borderId="0" xfId="76" applyNumberFormat="1" applyFont="1" applyFill="1" applyAlignment="1" applyProtection="1">
      <protection hidden="1"/>
    </xf>
    <xf numFmtId="0" fontId="3" fillId="75" borderId="193" xfId="0" applyFont="1" applyFill="1" applyBorder="1" applyAlignment="1" applyProtection="1">
      <alignment horizontal="center"/>
      <protection locked="0"/>
    </xf>
    <xf numFmtId="0" fontId="34" fillId="35" borderId="0" xfId="86" applyFont="1" applyFill="1" applyBorder="1" applyAlignment="1" applyProtection="1">
      <protection hidden="1"/>
    </xf>
    <xf numFmtId="0" fontId="34" fillId="35" borderId="0" xfId="59" applyFont="1" applyFill="1" applyAlignment="1" applyProtection="1">
      <alignment horizontal="left"/>
      <protection hidden="1"/>
    </xf>
    <xf numFmtId="0" fontId="34" fillId="35" borderId="0" xfId="74" applyFont="1" applyFill="1" applyBorder="1" applyAlignment="1" applyProtection="1">
      <alignment horizontal="left"/>
      <protection hidden="1"/>
    </xf>
    <xf numFmtId="0" fontId="13" fillId="77" borderId="277" xfId="86" applyFont="1" applyFill="1" applyBorder="1" applyAlignment="1" applyProtection="1">
      <alignment horizontal="center" vertical="center"/>
    </xf>
    <xf numFmtId="0" fontId="6" fillId="51" borderId="0" xfId="71" applyFont="1" applyFill="1" applyBorder="1" applyAlignment="1" applyProtection="1">
      <alignment horizontal="right"/>
      <protection hidden="1"/>
    </xf>
    <xf numFmtId="0" fontId="22" fillId="35" borderId="0" xfId="0" applyFont="1" applyFill="1" applyAlignment="1" applyProtection="1">
      <alignment horizontal="left"/>
      <protection hidden="1"/>
    </xf>
    <xf numFmtId="0" fontId="115" fillId="35" borderId="0" xfId="50" applyFont="1" applyFill="1" applyAlignment="1" applyProtection="1">
      <alignment horizontal="left"/>
      <protection hidden="1"/>
    </xf>
    <xf numFmtId="0" fontId="139" fillId="51" borderId="0" xfId="46" applyFont="1" applyFill="1" applyAlignment="1" applyProtection="1">
      <alignment horizontal="left"/>
      <protection hidden="1"/>
    </xf>
    <xf numFmtId="0" fontId="115" fillId="35" borderId="0" xfId="50" applyFont="1" applyFill="1" applyBorder="1" applyAlignment="1" applyProtection="1">
      <alignment horizontal="left"/>
      <protection hidden="1"/>
    </xf>
    <xf numFmtId="2" fontId="5" fillId="0" borderId="21" xfId="70" applyNumberFormat="1" applyFont="1" applyFill="1" applyBorder="1" applyAlignment="1" applyProtection="1">
      <alignment horizontal="center"/>
      <protection hidden="1"/>
    </xf>
    <xf numFmtId="2" fontId="5" fillId="0" borderId="22" xfId="70" applyNumberFormat="1" applyFont="1" applyFill="1" applyBorder="1" applyAlignment="1" applyProtection="1">
      <alignment horizontal="center"/>
      <protection hidden="1"/>
    </xf>
    <xf numFmtId="2" fontId="5" fillId="0" borderId="19" xfId="70" applyNumberFormat="1" applyFont="1" applyFill="1" applyBorder="1" applyAlignment="1" applyProtection="1">
      <alignment horizontal="center"/>
      <protection hidden="1"/>
    </xf>
    <xf numFmtId="1" fontId="3" fillId="35" borderId="0" xfId="76" applyNumberFormat="1" applyFont="1" applyFill="1" applyAlignment="1" applyProtection="1">
      <alignment horizontal="left"/>
      <protection hidden="1"/>
    </xf>
    <xf numFmtId="0" fontId="5" fillId="51" borderId="0" xfId="86" applyFill="1" applyAlignment="1" applyProtection="1">
      <alignment horizontal="center"/>
      <protection hidden="1"/>
    </xf>
    <xf numFmtId="0" fontId="138" fillId="51" borderId="0" xfId="80" applyFont="1" applyFill="1" applyBorder="1" applyAlignment="1" applyProtection="1">
      <alignment horizontal="right" wrapText="1"/>
      <protection hidden="1"/>
    </xf>
    <xf numFmtId="2" fontId="3" fillId="35" borderId="0" xfId="70" applyNumberFormat="1" applyFont="1" applyFill="1" applyAlignment="1" applyProtection="1">
      <alignment horizontal="left" vertical="top"/>
      <protection hidden="1"/>
    </xf>
    <xf numFmtId="1" fontId="3" fillId="51" borderId="0" xfId="76" applyNumberFormat="1" applyFont="1" applyFill="1" applyAlignment="1" applyProtection="1">
      <alignment horizontal="left"/>
      <protection hidden="1"/>
    </xf>
    <xf numFmtId="0" fontId="256" fillId="51" borderId="0" xfId="280" applyFont="1" applyFill="1" applyAlignment="1" applyProtection="1">
      <alignment horizontal="left"/>
      <protection hidden="1"/>
    </xf>
    <xf numFmtId="0" fontId="212" fillId="54" borderId="0" xfId="281" applyFont="1" applyFill="1" applyAlignment="1" applyProtection="1">
      <alignment horizontal="center"/>
      <protection hidden="1"/>
    </xf>
    <xf numFmtId="0" fontId="256" fillId="54" borderId="0" xfId="281" applyFont="1" applyFill="1" applyAlignment="1" applyProtection="1">
      <alignment horizontal="right"/>
      <protection hidden="1"/>
    </xf>
    <xf numFmtId="0" fontId="218" fillId="51" borderId="0" xfId="286" applyFont="1" applyFill="1" applyAlignment="1" applyProtection="1">
      <alignment horizontal="right"/>
      <protection hidden="1"/>
    </xf>
    <xf numFmtId="0" fontId="171" fillId="51" borderId="0" xfId="284" applyFont="1" applyFill="1" applyAlignment="1" applyProtection="1">
      <alignment horizontal="left"/>
      <protection hidden="1"/>
    </xf>
    <xf numFmtId="14" fontId="213" fillId="54" borderId="0" xfId="282" applyNumberFormat="1" applyFont="1" applyFill="1" applyAlignment="1" applyProtection="1">
      <alignment horizontal="left" vertical="top"/>
      <protection hidden="1"/>
    </xf>
    <xf numFmtId="0" fontId="92" fillId="73" borderId="0" xfId="89" applyNumberFormat="1" applyFont="1" applyFill="1" applyAlignment="1" applyProtection="1">
      <alignment horizontal="center" vertical="center" wrapText="1"/>
      <protection locked="0"/>
    </xf>
    <xf numFmtId="0" fontId="135" fillId="35" borderId="0" xfId="81" applyNumberFormat="1" applyFont="1" applyFill="1" applyAlignment="1" applyProtection="1">
      <alignment horizontal="center"/>
      <protection hidden="1"/>
    </xf>
    <xf numFmtId="0" fontId="3" fillId="35" borderId="0" xfId="72" applyFont="1" applyFill="1" applyBorder="1" applyAlignment="1" applyProtection="1">
      <protection hidden="1"/>
    </xf>
    <xf numFmtId="0" fontId="3" fillId="0" borderId="0" xfId="89" applyFont="1" applyBorder="1" applyAlignment="1"/>
    <xf numFmtId="0" fontId="40" fillId="35" borderId="0" xfId="81" applyFont="1" applyFill="1" applyAlignment="1" applyProtection="1">
      <alignment horizontal="left"/>
      <protection hidden="1"/>
    </xf>
    <xf numFmtId="0" fontId="117" fillId="35" borderId="13" xfId="75" applyFont="1" applyFill="1" applyBorder="1" applyAlignment="1" applyProtection="1">
      <alignment horizontal="left" vertical="top"/>
      <protection hidden="1"/>
    </xf>
    <xf numFmtId="0" fontId="117" fillId="35" borderId="0" xfId="75" applyFont="1" applyFill="1" applyBorder="1" applyAlignment="1" applyProtection="1">
      <alignment horizontal="left" vertical="top"/>
      <protection hidden="1"/>
    </xf>
    <xf numFmtId="0" fontId="3" fillId="35" borderId="0" xfId="81" applyNumberFormat="1" applyFont="1" applyFill="1" applyAlignment="1" applyProtection="1">
      <protection hidden="1"/>
    </xf>
    <xf numFmtId="0" fontId="3" fillId="35" borderId="0" xfId="81" applyNumberFormat="1" applyFont="1" applyFill="1" applyAlignment="1" applyProtection="1">
      <alignment horizontal="left"/>
      <protection hidden="1"/>
    </xf>
    <xf numFmtId="0" fontId="3" fillId="35" borderId="0" xfId="89" applyNumberFormat="1" applyFont="1" applyFill="1" applyAlignment="1" applyProtection="1">
      <alignment horizontal="right"/>
      <protection hidden="1"/>
    </xf>
    <xf numFmtId="0" fontId="3" fillId="35" borderId="0" xfId="81" applyNumberFormat="1" applyFont="1" applyFill="1" applyAlignment="1" applyProtection="1">
      <alignment horizontal="center"/>
      <protection hidden="1"/>
    </xf>
    <xf numFmtId="0" fontId="3" fillId="35" borderId="0" xfId="81" applyFont="1" applyFill="1" applyAlignment="1" applyProtection="1">
      <alignment horizontal="left" wrapText="1"/>
      <protection hidden="1"/>
    </xf>
    <xf numFmtId="0" fontId="3" fillId="35" borderId="0" xfId="81" applyFont="1" applyFill="1" applyAlignment="1" applyProtection="1">
      <protection hidden="1"/>
    </xf>
    <xf numFmtId="0" fontId="3" fillId="35" borderId="0" xfId="81" applyFont="1" applyFill="1" applyAlignment="1" applyProtection="1">
      <alignment horizontal="left"/>
      <protection hidden="1"/>
    </xf>
    <xf numFmtId="0" fontId="3" fillId="35" borderId="0" xfId="81" applyFont="1" applyFill="1" applyAlignment="1" applyProtection="1">
      <alignment wrapText="1"/>
      <protection hidden="1"/>
    </xf>
    <xf numFmtId="0" fontId="3" fillId="35" borderId="167" xfId="81" applyNumberFormat="1" applyFont="1" applyFill="1" applyBorder="1" applyAlignment="1" applyProtection="1">
      <alignment horizontal="left"/>
      <protection hidden="1"/>
    </xf>
    <xf numFmtId="0" fontId="3" fillId="35" borderId="0" xfId="81" applyNumberFormat="1" applyFont="1" applyFill="1" applyBorder="1" applyAlignment="1" applyProtection="1">
      <alignment horizontal="left"/>
      <protection hidden="1"/>
    </xf>
    <xf numFmtId="0" fontId="143" fillId="35" borderId="0" xfId="81" applyFont="1" applyFill="1" applyBorder="1" applyAlignment="1" applyProtection="1">
      <alignment horizontal="left"/>
      <protection hidden="1"/>
    </xf>
    <xf numFmtId="0" fontId="200" fillId="35" borderId="0" xfId="81" applyFont="1" applyFill="1" applyAlignment="1" applyProtection="1">
      <alignment horizontal="left"/>
      <protection hidden="1"/>
    </xf>
    <xf numFmtId="0" fontId="3" fillId="35" borderId="0" xfId="81" applyFont="1" applyFill="1" applyAlignment="1" applyProtection="1">
      <alignment horizontal="left" vertical="center" wrapText="1"/>
      <protection hidden="1"/>
    </xf>
    <xf numFmtId="0" fontId="3" fillId="35" borderId="0" xfId="81" applyFont="1" applyFill="1" applyBorder="1" applyAlignment="1" applyProtection="1">
      <protection hidden="1"/>
    </xf>
    <xf numFmtId="0" fontId="3" fillId="0" borderId="0" xfId="89" applyFont="1" applyAlignment="1" applyProtection="1">
      <protection hidden="1"/>
    </xf>
    <xf numFmtId="0" fontId="2" fillId="35" borderId="17" xfId="46" applyFill="1" applyBorder="1" applyAlignment="1" applyProtection="1">
      <alignment horizontal="left" vertical="center" wrapText="1"/>
      <protection hidden="1"/>
    </xf>
    <xf numFmtId="0" fontId="2" fillId="0" borderId="21" xfId="46" applyBorder="1" applyAlignment="1" applyProtection="1">
      <alignment vertical="center" wrapText="1"/>
      <protection hidden="1"/>
    </xf>
    <xf numFmtId="0" fontId="2" fillId="0" borderId="17" xfId="46" applyBorder="1" applyAlignment="1" applyProtection="1">
      <alignment vertical="center" wrapText="1"/>
      <protection hidden="1"/>
    </xf>
    <xf numFmtId="0" fontId="3" fillId="35" borderId="10" xfId="80" applyFont="1" applyFill="1" applyBorder="1" applyAlignment="1" applyProtection="1">
      <alignment horizontal="center"/>
      <protection hidden="1"/>
    </xf>
    <xf numFmtId="0" fontId="3" fillId="35" borderId="24" xfId="80" applyFont="1" applyFill="1" applyBorder="1" applyAlignment="1" applyProtection="1">
      <alignment horizontal="center"/>
      <protection hidden="1"/>
    </xf>
  </cellXfs>
  <cellStyles count="2257">
    <cellStyle name="20% - Accent1" xfId="1" builtinId="30" customBuiltin="1"/>
    <cellStyle name="20% - Accent1 2" xfId="2"/>
    <cellStyle name="20% - Accent1 2 2" xfId="110"/>
    <cellStyle name="20% - Accent1 2 2 2" xfId="287"/>
    <cellStyle name="20% - Accent1 2 2 3" xfId="288"/>
    <cellStyle name="20% - Accent1 2 3" xfId="111"/>
    <cellStyle name="20% - Accent1 2 4" xfId="112"/>
    <cellStyle name="20% - Accent1 2 5" xfId="113"/>
    <cellStyle name="20% - Accent1 2 6" xfId="114"/>
    <cellStyle name="20% - Accent1 2 7" xfId="289"/>
    <cellStyle name="20% - Accent1 3" xfId="346"/>
    <cellStyle name="20% - Accent2" xfId="3" builtinId="34" customBuiltin="1"/>
    <cellStyle name="20% - Accent2 2" xfId="4"/>
    <cellStyle name="20% - Accent2 2 2" xfId="115"/>
    <cellStyle name="20% - Accent2 2 2 2" xfId="290"/>
    <cellStyle name="20% - Accent2 2 2 3" xfId="291"/>
    <cellStyle name="20% - Accent2 2 3" xfId="116"/>
    <cellStyle name="20% - Accent2 2 4" xfId="117"/>
    <cellStyle name="20% - Accent2 2 5" xfId="118"/>
    <cellStyle name="20% - Accent2 2 6" xfId="119"/>
    <cellStyle name="20% - Accent2 2 7" xfId="292"/>
    <cellStyle name="20% - Accent2 3" xfId="347"/>
    <cellStyle name="20% - Accent3" xfId="5" builtinId="38" customBuiltin="1"/>
    <cellStyle name="20% - Accent3 2" xfId="6"/>
    <cellStyle name="20% - Accent3 2 2" xfId="120"/>
    <cellStyle name="20% - Accent3 2 2 2" xfId="293"/>
    <cellStyle name="20% - Accent3 2 2 3" xfId="294"/>
    <cellStyle name="20% - Accent3 2 3" xfId="121"/>
    <cellStyle name="20% - Accent3 2 4" xfId="122"/>
    <cellStyle name="20% - Accent3 2 5" xfId="123"/>
    <cellStyle name="20% - Accent3 2 6" xfId="124"/>
    <cellStyle name="20% - Accent3 2 7" xfId="295"/>
    <cellStyle name="20% - Accent3 3" xfId="348"/>
    <cellStyle name="20% - Accent4" xfId="7" builtinId="42" customBuiltin="1"/>
    <cellStyle name="20% - Accent4 2" xfId="8"/>
    <cellStyle name="20% - Accent4 2 2" xfId="125"/>
    <cellStyle name="20% - Accent4 2 2 2" xfId="296"/>
    <cellStyle name="20% - Accent4 2 2 3" xfId="297"/>
    <cellStyle name="20% - Accent4 2 3" xfId="126"/>
    <cellStyle name="20% - Accent4 2 4" xfId="127"/>
    <cellStyle name="20% - Accent4 2 5" xfId="128"/>
    <cellStyle name="20% - Accent4 2 6" xfId="129"/>
    <cellStyle name="20% - Accent4 2 7" xfId="298"/>
    <cellStyle name="20% - Accent4 3" xfId="349"/>
    <cellStyle name="20% - Accent5" xfId="9" builtinId="46" customBuiltin="1"/>
    <cellStyle name="20% - Accent5 2" xfId="10"/>
    <cellStyle name="20% - Accent5 2 2" xfId="130"/>
    <cellStyle name="20% - Accent5 2 2 2" xfId="299"/>
    <cellStyle name="20% - Accent5 2 2 3" xfId="300"/>
    <cellStyle name="20% - Accent5 2 3" xfId="131"/>
    <cellStyle name="20% - Accent5 2 4" xfId="132"/>
    <cellStyle name="20% - Accent5 2 5" xfId="133"/>
    <cellStyle name="20% - Accent5 2 6" xfId="134"/>
    <cellStyle name="20% - Accent5 2 7" xfId="301"/>
    <cellStyle name="20% - Accent5 3" xfId="350"/>
    <cellStyle name="20% - Accent6" xfId="11" builtinId="50" customBuiltin="1"/>
    <cellStyle name="20% - Accent6 2" xfId="12"/>
    <cellStyle name="20% - Accent6 2 2" xfId="135"/>
    <cellStyle name="20% - Accent6 2 2 2" xfId="302"/>
    <cellStyle name="20% - Accent6 2 2 3" xfId="303"/>
    <cellStyle name="20% - Accent6 2 3" xfId="136"/>
    <cellStyle name="20% - Accent6 2 4" xfId="137"/>
    <cellStyle name="20% - Accent6 2 5" xfId="138"/>
    <cellStyle name="20% - Accent6 2 6" xfId="139"/>
    <cellStyle name="20% - Accent6 2 7" xfId="304"/>
    <cellStyle name="20% - Accent6 3" xfId="351"/>
    <cellStyle name="40% - Accent1" xfId="13" builtinId="31" customBuiltin="1"/>
    <cellStyle name="40% - Accent1 2" xfId="14"/>
    <cellStyle name="40% - Accent1 2 2" xfId="140"/>
    <cellStyle name="40% - Accent1 2 2 2" xfId="305"/>
    <cellStyle name="40% - Accent1 2 2 3" xfId="306"/>
    <cellStyle name="40% - Accent1 2 3" xfId="141"/>
    <cellStyle name="40% - Accent1 2 4" xfId="142"/>
    <cellStyle name="40% - Accent1 2 5" xfId="143"/>
    <cellStyle name="40% - Accent1 2 6" xfId="144"/>
    <cellStyle name="40% - Accent1 2 7" xfId="307"/>
    <cellStyle name="40% - Accent1 3" xfId="352"/>
    <cellStyle name="40% - Accent2" xfId="15" builtinId="35" customBuiltin="1"/>
    <cellStyle name="40% - Accent2 2" xfId="16"/>
    <cellStyle name="40% - Accent2 2 2" xfId="145"/>
    <cellStyle name="40% - Accent2 2 2 2" xfId="308"/>
    <cellStyle name="40% - Accent2 2 2 3" xfId="309"/>
    <cellStyle name="40% - Accent2 2 3" xfId="146"/>
    <cellStyle name="40% - Accent2 2 4" xfId="147"/>
    <cellStyle name="40% - Accent2 2 5" xfId="148"/>
    <cellStyle name="40% - Accent2 2 6" xfId="149"/>
    <cellStyle name="40% - Accent2 2 7" xfId="310"/>
    <cellStyle name="40% - Accent2 3" xfId="353"/>
    <cellStyle name="40% - Accent3" xfId="17" builtinId="39" customBuiltin="1"/>
    <cellStyle name="40% - Accent3 2" xfId="18"/>
    <cellStyle name="40% - Accent3 2 2" xfId="150"/>
    <cellStyle name="40% - Accent3 2 2 2" xfId="311"/>
    <cellStyle name="40% - Accent3 2 2 3" xfId="312"/>
    <cellStyle name="40% - Accent3 2 3" xfId="151"/>
    <cellStyle name="40% - Accent3 2 4" xfId="152"/>
    <cellStyle name="40% - Accent3 2 5" xfId="153"/>
    <cellStyle name="40% - Accent3 2 6" xfId="154"/>
    <cellStyle name="40% - Accent3 2 7" xfId="313"/>
    <cellStyle name="40% - Accent3 3" xfId="354"/>
    <cellStyle name="40% - Accent4" xfId="19" builtinId="43" customBuiltin="1"/>
    <cellStyle name="40% - Accent4 2" xfId="20"/>
    <cellStyle name="40% - Accent4 2 2" xfId="155"/>
    <cellStyle name="40% - Accent4 2 2 2" xfId="314"/>
    <cellStyle name="40% - Accent4 2 2 3" xfId="315"/>
    <cellStyle name="40% - Accent4 2 3" xfId="156"/>
    <cellStyle name="40% - Accent4 2 4" xfId="157"/>
    <cellStyle name="40% - Accent4 2 5" xfId="158"/>
    <cellStyle name="40% - Accent4 2 6" xfId="159"/>
    <cellStyle name="40% - Accent4 2 7" xfId="316"/>
    <cellStyle name="40% - Accent4 3" xfId="355"/>
    <cellStyle name="40% - Accent5" xfId="21" builtinId="47" customBuiltin="1"/>
    <cellStyle name="40% - Accent5 2" xfId="22"/>
    <cellStyle name="40% - Accent5 2 2" xfId="160"/>
    <cellStyle name="40% - Accent5 2 2 2" xfId="317"/>
    <cellStyle name="40% - Accent5 2 2 3" xfId="318"/>
    <cellStyle name="40% - Accent5 2 3" xfId="161"/>
    <cellStyle name="40% - Accent5 2 4" xfId="162"/>
    <cellStyle name="40% - Accent5 2 5" xfId="163"/>
    <cellStyle name="40% - Accent5 2 6" xfId="164"/>
    <cellStyle name="40% - Accent5 2 7" xfId="319"/>
    <cellStyle name="40% - Accent5 3" xfId="356"/>
    <cellStyle name="40% - Accent6" xfId="23" builtinId="51" customBuiltin="1"/>
    <cellStyle name="40% - Accent6 2" xfId="24"/>
    <cellStyle name="40% - Accent6 2 2" xfId="165"/>
    <cellStyle name="40% - Accent6 2 2 2" xfId="320"/>
    <cellStyle name="40% - Accent6 2 2 3" xfId="321"/>
    <cellStyle name="40% - Accent6 2 3" xfId="166"/>
    <cellStyle name="40% - Accent6 2 4" xfId="167"/>
    <cellStyle name="40% - Accent6 2 5" xfId="168"/>
    <cellStyle name="40% - Accent6 2 6" xfId="169"/>
    <cellStyle name="40% - Accent6 2 7" xfId="322"/>
    <cellStyle name="40% - Accent6 3" xfId="357"/>
    <cellStyle name="60% - Accent1" xfId="25" builtinId="32" customBuiltin="1"/>
    <cellStyle name="60% - Accent1 2" xfId="358"/>
    <cellStyle name="60% - Accent2" xfId="26" builtinId="36" customBuiltin="1"/>
    <cellStyle name="60% - Accent2 2" xfId="359"/>
    <cellStyle name="60% - Accent3" xfId="27" builtinId="40" customBuiltin="1"/>
    <cellStyle name="60% - Accent3 2" xfId="360"/>
    <cellStyle name="60% - Accent4" xfId="28" builtinId="44" customBuiltin="1"/>
    <cellStyle name="60% - Accent4 2" xfId="361"/>
    <cellStyle name="60% - Accent5" xfId="29" builtinId="48" customBuiltin="1"/>
    <cellStyle name="60% - Accent5 2" xfId="362"/>
    <cellStyle name="60% - Accent6" xfId="30" builtinId="52" customBuiltin="1"/>
    <cellStyle name="60% - Accent6 2" xfId="363"/>
    <cellStyle name="Accent1" xfId="31" builtinId="29" customBuiltin="1"/>
    <cellStyle name="Accent1 2" xfId="364"/>
    <cellStyle name="Accent2" xfId="32" builtinId="33" customBuiltin="1"/>
    <cellStyle name="Accent2 2" xfId="365"/>
    <cellStyle name="Accent3" xfId="33" builtinId="37" customBuiltin="1"/>
    <cellStyle name="Accent3 2" xfId="366"/>
    <cellStyle name="Accent4" xfId="34" builtinId="41" customBuiltin="1"/>
    <cellStyle name="Accent4 2" xfId="367"/>
    <cellStyle name="Accent5" xfId="35" builtinId="45" customBuiltin="1"/>
    <cellStyle name="Accent5 2" xfId="368"/>
    <cellStyle name="Accent6" xfId="36" builtinId="49" customBuiltin="1"/>
    <cellStyle name="Accent6 2" xfId="369"/>
    <cellStyle name="Bad" xfId="37" builtinId="27" customBuiltin="1"/>
    <cellStyle name="Bad 2" xfId="370"/>
    <cellStyle name="Calculation" xfId="38" builtinId="22" customBuiltin="1"/>
    <cellStyle name="Calculation 2" xfId="170"/>
    <cellStyle name="Calculation 2 2" xfId="171"/>
    <cellStyle name="Calculation 2 2 2" xfId="371"/>
    <cellStyle name="Calculation 2 2 2 2" xfId="372"/>
    <cellStyle name="Calculation 2 2 2 2 2" xfId="373"/>
    <cellStyle name="Calculation 2 2 2 2 2 2" xfId="374"/>
    <cellStyle name="Calculation 2 2 2 2 3" xfId="375"/>
    <cellStyle name="Calculation 2 2 2 3" xfId="376"/>
    <cellStyle name="Calculation 2 2 2 3 2" xfId="377"/>
    <cellStyle name="Calculation 2 2 2 4" xfId="378"/>
    <cellStyle name="Calculation 2 2 3" xfId="379"/>
    <cellStyle name="Calculation 2 2 3 2" xfId="380"/>
    <cellStyle name="Calculation 2 2 3 2 2" xfId="381"/>
    <cellStyle name="Calculation 2 2 3 2 2 2" xfId="382"/>
    <cellStyle name="Calculation 2 2 3 2 3" xfId="383"/>
    <cellStyle name="Calculation 2 2 3 3" xfId="384"/>
    <cellStyle name="Calculation 2 2 3 3 2" xfId="385"/>
    <cellStyle name="Calculation 2 2 3 4" xfId="386"/>
    <cellStyle name="Calculation 2 2 4" xfId="387"/>
    <cellStyle name="Calculation 2 2 4 2" xfId="388"/>
    <cellStyle name="Calculation 2 2 4 2 2" xfId="389"/>
    <cellStyle name="Calculation 2 2 4 3" xfId="390"/>
    <cellStyle name="Calculation 2 2 5" xfId="391"/>
    <cellStyle name="Calculation 2 2 5 2" xfId="392"/>
    <cellStyle name="Calculation 2 2 6" xfId="393"/>
    <cellStyle name="Calculation 2 3" xfId="323"/>
    <cellStyle name="Calculation 2 3 2" xfId="394"/>
    <cellStyle name="Calculation 2 3 2 2" xfId="395"/>
    <cellStyle name="Calculation 2 3 2 2 2" xfId="396"/>
    <cellStyle name="Calculation 2 3 2 3" xfId="397"/>
    <cellStyle name="Calculation 2 3 3" xfId="398"/>
    <cellStyle name="Calculation 2 3 3 2" xfId="399"/>
    <cellStyle name="Calculation 2 3 4" xfId="400"/>
    <cellStyle name="Calculation 2 4" xfId="401"/>
    <cellStyle name="Calculation 2 4 2" xfId="402"/>
    <cellStyle name="Calculation 2 4 2 2" xfId="403"/>
    <cellStyle name="Calculation 2 4 2 2 2" xfId="404"/>
    <cellStyle name="Calculation 2 4 2 3" xfId="405"/>
    <cellStyle name="Calculation 2 4 3" xfId="406"/>
    <cellStyle name="Calculation 2 4 3 2" xfId="407"/>
    <cellStyle name="Calculation 2 4 4" xfId="408"/>
    <cellStyle name="Calculation 2 5" xfId="409"/>
    <cellStyle name="Calculation 2 5 2" xfId="410"/>
    <cellStyle name="Calculation 2 5 2 2" xfId="411"/>
    <cellStyle name="Calculation 2 5 3" xfId="412"/>
    <cellStyle name="Calculation 2 6" xfId="413"/>
    <cellStyle name="Calculation 2 6 2" xfId="414"/>
    <cellStyle name="Calculation 2 7" xfId="415"/>
    <cellStyle name="Calculation 3" xfId="172"/>
    <cellStyle name="Calculation 3 2" xfId="173"/>
    <cellStyle name="Calculation 3 2 2" xfId="416"/>
    <cellStyle name="Calculation 3 2 2 2" xfId="417"/>
    <cellStyle name="Calculation 3 2 2 2 2" xfId="418"/>
    <cellStyle name="Calculation 3 2 2 2 2 2" xfId="419"/>
    <cellStyle name="Calculation 3 2 2 2 3" xfId="420"/>
    <cellStyle name="Calculation 3 2 2 3" xfId="421"/>
    <cellStyle name="Calculation 3 2 2 3 2" xfId="422"/>
    <cellStyle name="Calculation 3 2 2 4" xfId="423"/>
    <cellStyle name="Calculation 3 2 3" xfId="424"/>
    <cellStyle name="Calculation 3 2 3 2" xfId="425"/>
    <cellStyle name="Calculation 3 2 3 2 2" xfId="426"/>
    <cellStyle name="Calculation 3 2 3 2 2 2" xfId="427"/>
    <cellStyle name="Calculation 3 2 3 2 3" xfId="428"/>
    <cellStyle name="Calculation 3 2 3 3" xfId="429"/>
    <cellStyle name="Calculation 3 2 3 3 2" xfId="430"/>
    <cellStyle name="Calculation 3 2 3 4" xfId="431"/>
    <cellStyle name="Calculation 3 2 4" xfId="432"/>
    <cellStyle name="Calculation 3 2 4 2" xfId="433"/>
    <cellStyle name="Calculation 3 2 4 2 2" xfId="434"/>
    <cellStyle name="Calculation 3 2 4 3" xfId="435"/>
    <cellStyle name="Calculation 3 2 5" xfId="436"/>
    <cellStyle name="Calculation 3 2 5 2" xfId="437"/>
    <cellStyle name="Calculation 3 2 6" xfId="438"/>
    <cellStyle name="Calculation 3 3" xfId="439"/>
    <cellStyle name="Calculation 3 3 2" xfId="440"/>
    <cellStyle name="Calculation 3 3 2 2" xfId="441"/>
    <cellStyle name="Calculation 3 3 2 2 2" xfId="442"/>
    <cellStyle name="Calculation 3 3 2 3" xfId="443"/>
    <cellStyle name="Calculation 3 3 3" xfId="444"/>
    <cellStyle name="Calculation 3 3 3 2" xfId="445"/>
    <cellStyle name="Calculation 3 3 4" xfId="446"/>
    <cellStyle name="Calculation 3 4" xfId="447"/>
    <cellStyle name="Calculation 3 4 2" xfId="448"/>
    <cellStyle name="Calculation 3 4 2 2" xfId="449"/>
    <cellStyle name="Calculation 3 4 2 2 2" xfId="450"/>
    <cellStyle name="Calculation 3 4 2 3" xfId="451"/>
    <cellStyle name="Calculation 3 4 3" xfId="452"/>
    <cellStyle name="Calculation 3 4 3 2" xfId="453"/>
    <cellStyle name="Calculation 3 4 4" xfId="454"/>
    <cellStyle name="Calculation 3 5" xfId="455"/>
    <cellStyle name="Calculation 3 5 2" xfId="456"/>
    <cellStyle name="Calculation 3 5 2 2" xfId="457"/>
    <cellStyle name="Calculation 3 5 3" xfId="458"/>
    <cellStyle name="Calculation 3 6" xfId="459"/>
    <cellStyle name="Calculation 3 6 2" xfId="460"/>
    <cellStyle name="Calculation 3 7" xfId="461"/>
    <cellStyle name="Calculation 4" xfId="174"/>
    <cellStyle name="Calculation 4 2" xfId="175"/>
    <cellStyle name="Calculation 4 2 2" xfId="462"/>
    <cellStyle name="Calculation 4 2 2 2" xfId="463"/>
    <cellStyle name="Calculation 4 2 2 2 2" xfId="464"/>
    <cellStyle name="Calculation 4 2 2 2 2 2" xfId="465"/>
    <cellStyle name="Calculation 4 2 2 2 3" xfId="466"/>
    <cellStyle name="Calculation 4 2 2 3" xfId="467"/>
    <cellStyle name="Calculation 4 2 2 3 2" xfId="468"/>
    <cellStyle name="Calculation 4 2 2 4" xfId="469"/>
    <cellStyle name="Calculation 4 2 3" xfId="470"/>
    <cellStyle name="Calculation 4 2 3 2" xfId="471"/>
    <cellStyle name="Calculation 4 2 3 2 2" xfId="472"/>
    <cellStyle name="Calculation 4 2 3 2 2 2" xfId="473"/>
    <cellStyle name="Calculation 4 2 3 2 3" xfId="474"/>
    <cellStyle name="Calculation 4 2 3 3" xfId="475"/>
    <cellStyle name="Calculation 4 2 3 3 2" xfId="476"/>
    <cellStyle name="Calculation 4 2 3 4" xfId="477"/>
    <cellStyle name="Calculation 4 2 4" xfId="478"/>
    <cellStyle name="Calculation 4 2 4 2" xfId="479"/>
    <cellStyle name="Calculation 4 2 4 2 2" xfId="480"/>
    <cellStyle name="Calculation 4 2 4 3" xfId="481"/>
    <cellStyle name="Calculation 4 2 5" xfId="482"/>
    <cellStyle name="Calculation 4 2 5 2" xfId="483"/>
    <cellStyle name="Calculation 4 2 6" xfId="484"/>
    <cellStyle name="Calculation 4 3" xfId="485"/>
    <cellStyle name="Calculation 4 3 2" xfId="486"/>
    <cellStyle name="Calculation 4 3 2 2" xfId="487"/>
    <cellStyle name="Calculation 4 3 2 2 2" xfId="488"/>
    <cellStyle name="Calculation 4 3 2 3" xfId="489"/>
    <cellStyle name="Calculation 4 3 3" xfId="490"/>
    <cellStyle name="Calculation 4 3 3 2" xfId="491"/>
    <cellStyle name="Calculation 4 3 4" xfId="492"/>
    <cellStyle name="Calculation 4 4" xfId="493"/>
    <cellStyle name="Calculation 4 4 2" xfId="494"/>
    <cellStyle name="Calculation 4 4 2 2" xfId="495"/>
    <cellStyle name="Calculation 4 4 2 2 2" xfId="496"/>
    <cellStyle name="Calculation 4 4 2 3" xfId="497"/>
    <cellStyle name="Calculation 4 4 3" xfId="498"/>
    <cellStyle name="Calculation 4 4 3 2" xfId="499"/>
    <cellStyle name="Calculation 4 4 4" xfId="500"/>
    <cellStyle name="Calculation 4 5" xfId="501"/>
    <cellStyle name="Calculation 4 5 2" xfId="502"/>
    <cellStyle name="Calculation 4 5 2 2" xfId="503"/>
    <cellStyle name="Calculation 4 5 3" xfId="504"/>
    <cellStyle name="Calculation 4 6" xfId="505"/>
    <cellStyle name="Calculation 4 6 2" xfId="506"/>
    <cellStyle name="Calculation 4 7" xfId="507"/>
    <cellStyle name="Calculation 5" xfId="176"/>
    <cellStyle name="Calculation 5 2" xfId="177"/>
    <cellStyle name="Calculation 5 2 2" xfId="508"/>
    <cellStyle name="Calculation 5 2 2 2" xfId="509"/>
    <cellStyle name="Calculation 5 2 2 2 2" xfId="510"/>
    <cellStyle name="Calculation 5 2 2 2 2 2" xfId="511"/>
    <cellStyle name="Calculation 5 2 2 2 3" xfId="512"/>
    <cellStyle name="Calculation 5 2 2 3" xfId="513"/>
    <cellStyle name="Calculation 5 2 2 3 2" xfId="514"/>
    <cellStyle name="Calculation 5 2 2 4" xfId="515"/>
    <cellStyle name="Calculation 5 2 3" xfId="516"/>
    <cellStyle name="Calculation 5 2 3 2" xfId="517"/>
    <cellStyle name="Calculation 5 2 3 2 2" xfId="518"/>
    <cellStyle name="Calculation 5 2 3 2 2 2" xfId="519"/>
    <cellStyle name="Calculation 5 2 3 2 3" xfId="520"/>
    <cellStyle name="Calculation 5 2 3 3" xfId="521"/>
    <cellStyle name="Calculation 5 2 3 3 2" xfId="522"/>
    <cellStyle name="Calculation 5 2 3 4" xfId="523"/>
    <cellStyle name="Calculation 5 2 4" xfId="524"/>
    <cellStyle name="Calculation 5 2 4 2" xfId="525"/>
    <cellStyle name="Calculation 5 2 4 2 2" xfId="526"/>
    <cellStyle name="Calculation 5 2 4 3" xfId="527"/>
    <cellStyle name="Calculation 5 2 5" xfId="528"/>
    <cellStyle name="Calculation 5 2 5 2" xfId="529"/>
    <cellStyle name="Calculation 5 2 6" xfId="530"/>
    <cellStyle name="Calculation 5 3" xfId="531"/>
    <cellStyle name="Calculation 5 3 2" xfId="532"/>
    <cellStyle name="Calculation 5 3 2 2" xfId="533"/>
    <cellStyle name="Calculation 5 3 2 2 2" xfId="534"/>
    <cellStyle name="Calculation 5 3 2 3" xfId="535"/>
    <cellStyle name="Calculation 5 3 3" xfId="536"/>
    <cellStyle name="Calculation 5 3 3 2" xfId="537"/>
    <cellStyle name="Calculation 5 3 4" xfId="538"/>
    <cellStyle name="Calculation 5 4" xfId="539"/>
    <cellStyle name="Calculation 5 4 2" xfId="540"/>
    <cellStyle name="Calculation 5 4 2 2" xfId="541"/>
    <cellStyle name="Calculation 5 4 2 2 2" xfId="542"/>
    <cellStyle name="Calculation 5 4 2 3" xfId="543"/>
    <cellStyle name="Calculation 5 4 3" xfId="544"/>
    <cellStyle name="Calculation 5 4 3 2" xfId="545"/>
    <cellStyle name="Calculation 5 4 4" xfId="546"/>
    <cellStyle name="Calculation 5 5" xfId="547"/>
    <cellStyle name="Calculation 5 5 2" xfId="548"/>
    <cellStyle name="Calculation 5 5 2 2" xfId="549"/>
    <cellStyle name="Calculation 5 5 3" xfId="550"/>
    <cellStyle name="Calculation 5 6" xfId="551"/>
    <cellStyle name="Calculation 5 6 2" xfId="552"/>
    <cellStyle name="Calculation 5 7" xfId="553"/>
    <cellStyle name="Calculation 6" xfId="178"/>
    <cellStyle name="Calculation 6 2" xfId="179"/>
    <cellStyle name="Calculation 6 2 2" xfId="554"/>
    <cellStyle name="Calculation 6 2 2 2" xfId="555"/>
    <cellStyle name="Calculation 6 2 2 2 2" xfId="556"/>
    <cellStyle name="Calculation 6 2 2 2 2 2" xfId="557"/>
    <cellStyle name="Calculation 6 2 2 2 3" xfId="558"/>
    <cellStyle name="Calculation 6 2 2 3" xfId="559"/>
    <cellStyle name="Calculation 6 2 2 3 2" xfId="560"/>
    <cellStyle name="Calculation 6 2 2 4" xfId="561"/>
    <cellStyle name="Calculation 6 2 3" xfId="562"/>
    <cellStyle name="Calculation 6 2 3 2" xfId="563"/>
    <cellStyle name="Calculation 6 2 3 2 2" xfId="564"/>
    <cellStyle name="Calculation 6 2 3 2 2 2" xfId="565"/>
    <cellStyle name="Calculation 6 2 3 2 3" xfId="566"/>
    <cellStyle name="Calculation 6 2 3 3" xfId="567"/>
    <cellStyle name="Calculation 6 2 3 3 2" xfId="568"/>
    <cellStyle name="Calculation 6 2 3 4" xfId="569"/>
    <cellStyle name="Calculation 6 2 4" xfId="570"/>
    <cellStyle name="Calculation 6 2 4 2" xfId="571"/>
    <cellStyle name="Calculation 6 2 4 2 2" xfId="572"/>
    <cellStyle name="Calculation 6 2 4 3" xfId="573"/>
    <cellStyle name="Calculation 6 2 5" xfId="574"/>
    <cellStyle name="Calculation 6 2 5 2" xfId="575"/>
    <cellStyle name="Calculation 6 2 6" xfId="576"/>
    <cellStyle name="Calculation 6 3" xfId="577"/>
    <cellStyle name="Calculation 6 3 2" xfId="578"/>
    <cellStyle name="Calculation 6 3 2 2" xfId="579"/>
    <cellStyle name="Calculation 6 3 2 2 2" xfId="580"/>
    <cellStyle name="Calculation 6 3 2 3" xfId="581"/>
    <cellStyle name="Calculation 6 3 3" xfId="582"/>
    <cellStyle name="Calculation 6 3 3 2" xfId="583"/>
    <cellStyle name="Calculation 6 3 4" xfId="584"/>
    <cellStyle name="Calculation 6 4" xfId="585"/>
    <cellStyle name="Calculation 6 4 2" xfId="586"/>
    <cellStyle name="Calculation 6 4 2 2" xfId="587"/>
    <cellStyle name="Calculation 6 4 2 2 2" xfId="588"/>
    <cellStyle name="Calculation 6 4 2 3" xfId="589"/>
    <cellStyle name="Calculation 6 4 3" xfId="590"/>
    <cellStyle name="Calculation 6 4 3 2" xfId="591"/>
    <cellStyle name="Calculation 6 4 4" xfId="592"/>
    <cellStyle name="Calculation 6 5" xfId="593"/>
    <cellStyle name="Calculation 6 5 2" xfId="594"/>
    <cellStyle name="Calculation 6 5 2 2" xfId="595"/>
    <cellStyle name="Calculation 6 5 3" xfId="596"/>
    <cellStyle name="Calculation 6 6" xfId="597"/>
    <cellStyle name="Calculation 6 6 2" xfId="598"/>
    <cellStyle name="Calculation 6 7" xfId="599"/>
    <cellStyle name="Calculation 7" xfId="180"/>
    <cellStyle name="Calculation 7 2" xfId="181"/>
    <cellStyle name="Calculation 7 2 2" xfId="600"/>
    <cellStyle name="Calculation 7 2 2 2" xfId="601"/>
    <cellStyle name="Calculation 7 2 2 2 2" xfId="602"/>
    <cellStyle name="Calculation 7 2 2 2 2 2" xfId="603"/>
    <cellStyle name="Calculation 7 2 2 2 3" xfId="604"/>
    <cellStyle name="Calculation 7 2 2 3" xfId="605"/>
    <cellStyle name="Calculation 7 2 2 3 2" xfId="606"/>
    <cellStyle name="Calculation 7 2 2 4" xfId="607"/>
    <cellStyle name="Calculation 7 2 3" xfId="608"/>
    <cellStyle name="Calculation 7 2 3 2" xfId="609"/>
    <cellStyle name="Calculation 7 2 3 2 2" xfId="610"/>
    <cellStyle name="Calculation 7 2 3 2 2 2" xfId="611"/>
    <cellStyle name="Calculation 7 2 3 2 3" xfId="612"/>
    <cellStyle name="Calculation 7 2 3 3" xfId="613"/>
    <cellStyle name="Calculation 7 2 3 3 2" xfId="614"/>
    <cellStyle name="Calculation 7 2 3 4" xfId="615"/>
    <cellStyle name="Calculation 7 2 4" xfId="616"/>
    <cellStyle name="Calculation 7 2 4 2" xfId="617"/>
    <cellStyle name="Calculation 7 2 4 2 2" xfId="618"/>
    <cellStyle name="Calculation 7 2 4 3" xfId="619"/>
    <cellStyle name="Calculation 7 2 5" xfId="620"/>
    <cellStyle name="Calculation 7 2 5 2" xfId="621"/>
    <cellStyle name="Calculation 7 2 6" xfId="622"/>
    <cellStyle name="Calculation 7 3" xfId="623"/>
    <cellStyle name="Calculation 7 3 2" xfId="624"/>
    <cellStyle name="Calculation 7 3 2 2" xfId="625"/>
    <cellStyle name="Calculation 7 3 2 2 2" xfId="626"/>
    <cellStyle name="Calculation 7 3 2 3" xfId="627"/>
    <cellStyle name="Calculation 7 3 3" xfId="628"/>
    <cellStyle name="Calculation 7 3 3 2" xfId="629"/>
    <cellStyle name="Calculation 7 3 4" xfId="630"/>
    <cellStyle name="Calculation 7 4" xfId="631"/>
    <cellStyle name="Calculation 7 4 2" xfId="632"/>
    <cellStyle name="Calculation 7 4 2 2" xfId="633"/>
    <cellStyle name="Calculation 7 4 2 2 2" xfId="634"/>
    <cellStyle name="Calculation 7 4 2 3" xfId="635"/>
    <cellStyle name="Calculation 7 4 3" xfId="636"/>
    <cellStyle name="Calculation 7 4 3 2" xfId="637"/>
    <cellStyle name="Calculation 7 4 4" xfId="638"/>
    <cellStyle name="Calculation 7 5" xfId="639"/>
    <cellStyle name="Calculation 7 5 2" xfId="640"/>
    <cellStyle name="Calculation 7 5 2 2" xfId="641"/>
    <cellStyle name="Calculation 7 5 3" xfId="642"/>
    <cellStyle name="Calculation 7 6" xfId="643"/>
    <cellStyle name="Calculation 7 6 2" xfId="644"/>
    <cellStyle name="Calculation 7 7" xfId="645"/>
    <cellStyle name="Calculation 8" xfId="182"/>
    <cellStyle name="Calculation 8 2" xfId="646"/>
    <cellStyle name="Calculation 8 2 2" xfId="647"/>
    <cellStyle name="Calculation 8 2 2 2" xfId="648"/>
    <cellStyle name="Calculation 8 2 2 2 2" xfId="649"/>
    <cellStyle name="Calculation 8 2 2 3" xfId="650"/>
    <cellStyle name="Calculation 8 2 3" xfId="651"/>
    <cellStyle name="Calculation 8 2 3 2" xfId="652"/>
    <cellStyle name="Calculation 8 2 4" xfId="653"/>
    <cellStyle name="Calculation 8 3" xfId="654"/>
    <cellStyle name="Calculation 8 3 2" xfId="655"/>
    <cellStyle name="Calculation 8 3 2 2" xfId="656"/>
    <cellStyle name="Calculation 8 3 2 2 2" xfId="657"/>
    <cellStyle name="Calculation 8 3 2 3" xfId="658"/>
    <cellStyle name="Calculation 8 3 3" xfId="659"/>
    <cellStyle name="Calculation 8 3 3 2" xfId="660"/>
    <cellStyle name="Calculation 8 3 4" xfId="661"/>
    <cellStyle name="Calculation 8 4" xfId="662"/>
    <cellStyle name="Calculation 8 4 2" xfId="663"/>
    <cellStyle name="Calculation 8 4 2 2" xfId="664"/>
    <cellStyle name="Calculation 8 4 3" xfId="665"/>
    <cellStyle name="Calculation 8 5" xfId="666"/>
    <cellStyle name="Calculation 8 5 2" xfId="667"/>
    <cellStyle name="Calculation 8 6" xfId="668"/>
    <cellStyle name="Calculation 9" xfId="669"/>
    <cellStyle name="Calculation 9 2" xfId="670"/>
    <cellStyle name="Calculation 9 2 2" xfId="671"/>
    <cellStyle name="Calculation 9 2 2 2" xfId="672"/>
    <cellStyle name="Calculation 9 2 3" xfId="673"/>
    <cellStyle name="Calculation 9 3" xfId="674"/>
    <cellStyle name="Calculation 9 3 2" xfId="675"/>
    <cellStyle name="Calculation 9 4" xfId="676"/>
    <cellStyle name="Check Cell" xfId="39" builtinId="23" customBuiltin="1"/>
    <cellStyle name="Check Cell 2" xfId="677"/>
    <cellStyle name="Currency 2" xfId="324"/>
    <cellStyle name="Currency 3" xfId="325"/>
    <cellStyle name="Explanatory Text" xfId="40" builtinId="53" customBuiltin="1"/>
    <cellStyle name="Explanatory Text 2" xfId="678"/>
    <cellStyle name="Good" xfId="41" builtinId="26" customBuiltin="1"/>
    <cellStyle name="Good 2" xfId="679"/>
    <cellStyle name="Heading 1" xfId="42" builtinId="16" customBuiltin="1"/>
    <cellStyle name="Heading 1 2" xfId="183"/>
    <cellStyle name="Heading 1 2 2" xfId="326"/>
    <cellStyle name="Heading 1 2 3" xfId="327"/>
    <cellStyle name="Heading 1 3" xfId="184"/>
    <cellStyle name="Heading 1 4" xfId="185"/>
    <cellStyle name="Heading 1 5" xfId="186"/>
    <cellStyle name="Heading 1 6" xfId="187"/>
    <cellStyle name="Heading 1 7" xfId="328"/>
    <cellStyle name="Heading 2" xfId="43" builtinId="17" customBuiltin="1"/>
    <cellStyle name="Heading 2 2" xfId="188"/>
    <cellStyle name="Heading 2 2 2" xfId="329"/>
    <cellStyle name="Heading 2 2 3" xfId="330"/>
    <cellStyle name="Heading 2 3" xfId="189"/>
    <cellStyle name="Heading 2 4" xfId="190"/>
    <cellStyle name="Heading 2 5" xfId="191"/>
    <cellStyle name="Heading 2 6" xfId="192"/>
    <cellStyle name="Heading 2 7" xfId="331"/>
    <cellStyle name="Heading 3" xfId="44" builtinId="18" customBuiltin="1"/>
    <cellStyle name="Heading 3 2" xfId="680"/>
    <cellStyle name="Heading 4" xfId="45" builtinId="19" customBuiltin="1"/>
    <cellStyle name="Heading 4 2" xfId="681"/>
    <cellStyle name="Hyperlink" xfId="46" builtinId="8"/>
    <cellStyle name="Hyperlink 2" xfId="47"/>
    <cellStyle name="Hyperlink 3" xfId="109"/>
    <cellStyle name="Hyperlink 3 2" xfId="2255"/>
    <cellStyle name="Hyperlink 4" xfId="286"/>
    <cellStyle name="Hyperlink 4 2" xfId="2256"/>
    <cellStyle name="Hyperlink 5" xfId="332"/>
    <cellStyle name="Hyperlink_1.4WinrF" xfId="48"/>
    <cellStyle name="Hyperlink_Pete's YoBrew Beer Calc's v1.1 DO NOT LOCK" xfId="49"/>
    <cellStyle name="Hyperlink_Pete's YoBrew Wine, Jam Etc. Calc's v1.1 DO NOT LOCK" xfId="50"/>
    <cellStyle name="Hyperlink_Pete's YoBrew Wine, Jam Etc. Calc's v1.2" xfId="51"/>
    <cellStyle name="Hyperlink_Pete's_YoBrew_Wine,_Jam_Etc._Calc's_v1.3" xfId="52"/>
    <cellStyle name="Input" xfId="53" builtinId="20" customBuiltin="1"/>
    <cellStyle name="Input 2" xfId="193"/>
    <cellStyle name="Input 2 2" xfId="194"/>
    <cellStyle name="Input 2 2 2" xfId="682"/>
    <cellStyle name="Input 2 2 2 2" xfId="683"/>
    <cellStyle name="Input 2 2 2 2 2" xfId="684"/>
    <cellStyle name="Input 2 2 2 2 2 2" xfId="685"/>
    <cellStyle name="Input 2 2 2 2 3" xfId="686"/>
    <cellStyle name="Input 2 2 2 3" xfId="687"/>
    <cellStyle name="Input 2 2 2 3 2" xfId="688"/>
    <cellStyle name="Input 2 2 2 4" xfId="689"/>
    <cellStyle name="Input 2 2 3" xfId="690"/>
    <cellStyle name="Input 2 2 3 2" xfId="691"/>
    <cellStyle name="Input 2 2 3 2 2" xfId="692"/>
    <cellStyle name="Input 2 2 3 2 2 2" xfId="693"/>
    <cellStyle name="Input 2 2 3 2 3" xfId="694"/>
    <cellStyle name="Input 2 2 3 3" xfId="695"/>
    <cellStyle name="Input 2 2 3 3 2" xfId="696"/>
    <cellStyle name="Input 2 2 3 4" xfId="697"/>
    <cellStyle name="Input 2 2 4" xfId="698"/>
    <cellStyle name="Input 2 2 4 2" xfId="699"/>
    <cellStyle name="Input 2 2 4 2 2" xfId="700"/>
    <cellStyle name="Input 2 2 4 3" xfId="701"/>
    <cellStyle name="Input 2 2 5" xfId="702"/>
    <cellStyle name="Input 2 2 5 2" xfId="703"/>
    <cellStyle name="Input 2 2 6" xfId="704"/>
    <cellStyle name="Input 2 3" xfId="333"/>
    <cellStyle name="Input 2 3 2" xfId="705"/>
    <cellStyle name="Input 2 3 2 2" xfId="706"/>
    <cellStyle name="Input 2 3 2 2 2" xfId="707"/>
    <cellStyle name="Input 2 3 2 3" xfId="708"/>
    <cellStyle name="Input 2 3 3" xfId="709"/>
    <cellStyle name="Input 2 3 3 2" xfId="710"/>
    <cellStyle name="Input 2 3 4" xfId="711"/>
    <cellStyle name="Input 2 4" xfId="712"/>
    <cellStyle name="Input 2 4 2" xfId="713"/>
    <cellStyle name="Input 2 4 2 2" xfId="714"/>
    <cellStyle name="Input 2 4 2 2 2" xfId="715"/>
    <cellStyle name="Input 2 4 2 3" xfId="716"/>
    <cellStyle name="Input 2 4 3" xfId="717"/>
    <cellStyle name="Input 2 4 3 2" xfId="718"/>
    <cellStyle name="Input 2 4 4" xfId="719"/>
    <cellStyle name="Input 2 5" xfId="720"/>
    <cellStyle name="Input 2 5 2" xfId="721"/>
    <cellStyle name="Input 2 5 2 2" xfId="722"/>
    <cellStyle name="Input 2 5 3" xfId="723"/>
    <cellStyle name="Input 2 6" xfId="724"/>
    <cellStyle name="Input 2 6 2" xfId="725"/>
    <cellStyle name="Input 2 7" xfId="726"/>
    <cellStyle name="Input 3" xfId="195"/>
    <cellStyle name="Input 3 2" xfId="196"/>
    <cellStyle name="Input 3 2 2" xfId="727"/>
    <cellStyle name="Input 3 2 2 2" xfId="728"/>
    <cellStyle name="Input 3 2 2 2 2" xfId="729"/>
    <cellStyle name="Input 3 2 2 2 2 2" xfId="730"/>
    <cellStyle name="Input 3 2 2 2 3" xfId="731"/>
    <cellStyle name="Input 3 2 2 3" xfId="732"/>
    <cellStyle name="Input 3 2 2 3 2" xfId="733"/>
    <cellStyle name="Input 3 2 2 4" xfId="734"/>
    <cellStyle name="Input 3 2 3" xfId="735"/>
    <cellStyle name="Input 3 2 3 2" xfId="736"/>
    <cellStyle name="Input 3 2 3 2 2" xfId="737"/>
    <cellStyle name="Input 3 2 3 2 2 2" xfId="738"/>
    <cellStyle name="Input 3 2 3 2 3" xfId="739"/>
    <cellStyle name="Input 3 2 3 3" xfId="740"/>
    <cellStyle name="Input 3 2 3 3 2" xfId="741"/>
    <cellStyle name="Input 3 2 3 4" xfId="742"/>
    <cellStyle name="Input 3 2 4" xfId="743"/>
    <cellStyle name="Input 3 2 4 2" xfId="744"/>
    <cellStyle name="Input 3 2 4 2 2" xfId="745"/>
    <cellStyle name="Input 3 2 4 3" xfId="746"/>
    <cellStyle name="Input 3 2 5" xfId="747"/>
    <cellStyle name="Input 3 2 5 2" xfId="748"/>
    <cellStyle name="Input 3 2 6" xfId="749"/>
    <cellStyle name="Input 3 3" xfId="750"/>
    <cellStyle name="Input 3 3 2" xfId="751"/>
    <cellStyle name="Input 3 3 2 2" xfId="752"/>
    <cellStyle name="Input 3 3 2 2 2" xfId="753"/>
    <cellStyle name="Input 3 3 2 3" xfId="754"/>
    <cellStyle name="Input 3 3 3" xfId="755"/>
    <cellStyle name="Input 3 3 3 2" xfId="756"/>
    <cellStyle name="Input 3 3 4" xfId="757"/>
    <cellStyle name="Input 3 4" xfId="758"/>
    <cellStyle name="Input 3 4 2" xfId="759"/>
    <cellStyle name="Input 3 4 2 2" xfId="760"/>
    <cellStyle name="Input 3 4 2 2 2" xfId="761"/>
    <cellStyle name="Input 3 4 2 3" xfId="762"/>
    <cellStyle name="Input 3 4 3" xfId="763"/>
    <cellStyle name="Input 3 4 3 2" xfId="764"/>
    <cellStyle name="Input 3 4 4" xfId="765"/>
    <cellStyle name="Input 3 5" xfId="766"/>
    <cellStyle name="Input 3 5 2" xfId="767"/>
    <cellStyle name="Input 3 5 2 2" xfId="768"/>
    <cellStyle name="Input 3 5 3" xfId="769"/>
    <cellStyle name="Input 3 6" xfId="770"/>
    <cellStyle name="Input 3 6 2" xfId="771"/>
    <cellStyle name="Input 3 7" xfId="772"/>
    <cellStyle name="Input 4" xfId="197"/>
    <cellStyle name="Input 4 2" xfId="198"/>
    <cellStyle name="Input 4 2 2" xfId="773"/>
    <cellStyle name="Input 4 2 2 2" xfId="774"/>
    <cellStyle name="Input 4 2 2 2 2" xfId="775"/>
    <cellStyle name="Input 4 2 2 2 2 2" xfId="776"/>
    <cellStyle name="Input 4 2 2 2 3" xfId="777"/>
    <cellStyle name="Input 4 2 2 3" xfId="778"/>
    <cellStyle name="Input 4 2 2 3 2" xfId="779"/>
    <cellStyle name="Input 4 2 2 4" xfId="780"/>
    <cellStyle name="Input 4 2 3" xfId="781"/>
    <cellStyle name="Input 4 2 3 2" xfId="782"/>
    <cellStyle name="Input 4 2 3 2 2" xfId="783"/>
    <cellStyle name="Input 4 2 3 2 2 2" xfId="784"/>
    <cellStyle name="Input 4 2 3 2 3" xfId="785"/>
    <cellStyle name="Input 4 2 3 3" xfId="786"/>
    <cellStyle name="Input 4 2 3 3 2" xfId="787"/>
    <cellStyle name="Input 4 2 3 4" xfId="788"/>
    <cellStyle name="Input 4 2 4" xfId="789"/>
    <cellStyle name="Input 4 2 4 2" xfId="790"/>
    <cellStyle name="Input 4 2 4 2 2" xfId="791"/>
    <cellStyle name="Input 4 2 4 3" xfId="792"/>
    <cellStyle name="Input 4 2 5" xfId="793"/>
    <cellStyle name="Input 4 2 5 2" xfId="794"/>
    <cellStyle name="Input 4 2 6" xfId="795"/>
    <cellStyle name="Input 4 3" xfId="796"/>
    <cellStyle name="Input 4 3 2" xfId="797"/>
    <cellStyle name="Input 4 3 2 2" xfId="798"/>
    <cellStyle name="Input 4 3 2 2 2" xfId="799"/>
    <cellStyle name="Input 4 3 2 3" xfId="800"/>
    <cellStyle name="Input 4 3 3" xfId="801"/>
    <cellStyle name="Input 4 3 3 2" xfId="802"/>
    <cellStyle name="Input 4 3 4" xfId="803"/>
    <cellStyle name="Input 4 4" xfId="804"/>
    <cellStyle name="Input 4 4 2" xfId="805"/>
    <cellStyle name="Input 4 4 2 2" xfId="806"/>
    <cellStyle name="Input 4 4 2 2 2" xfId="807"/>
    <cellStyle name="Input 4 4 2 3" xfId="808"/>
    <cellStyle name="Input 4 4 3" xfId="809"/>
    <cellStyle name="Input 4 4 3 2" xfId="810"/>
    <cellStyle name="Input 4 4 4" xfId="811"/>
    <cellStyle name="Input 4 5" xfId="812"/>
    <cellStyle name="Input 4 5 2" xfId="813"/>
    <cellStyle name="Input 4 5 2 2" xfId="814"/>
    <cellStyle name="Input 4 5 3" xfId="815"/>
    <cellStyle name="Input 4 6" xfId="816"/>
    <cellStyle name="Input 4 6 2" xfId="817"/>
    <cellStyle name="Input 4 7" xfId="818"/>
    <cellStyle name="Input 5" xfId="199"/>
    <cellStyle name="Input 5 2" xfId="200"/>
    <cellStyle name="Input 5 2 2" xfId="819"/>
    <cellStyle name="Input 5 2 2 2" xfId="820"/>
    <cellStyle name="Input 5 2 2 2 2" xfId="821"/>
    <cellStyle name="Input 5 2 2 2 2 2" xfId="822"/>
    <cellStyle name="Input 5 2 2 2 3" xfId="823"/>
    <cellStyle name="Input 5 2 2 3" xfId="824"/>
    <cellStyle name="Input 5 2 2 3 2" xfId="825"/>
    <cellStyle name="Input 5 2 2 4" xfId="826"/>
    <cellStyle name="Input 5 2 3" xfId="827"/>
    <cellStyle name="Input 5 2 3 2" xfId="828"/>
    <cellStyle name="Input 5 2 3 2 2" xfId="829"/>
    <cellStyle name="Input 5 2 3 2 2 2" xfId="830"/>
    <cellStyle name="Input 5 2 3 2 3" xfId="831"/>
    <cellStyle name="Input 5 2 3 3" xfId="832"/>
    <cellStyle name="Input 5 2 3 3 2" xfId="833"/>
    <cellStyle name="Input 5 2 3 4" xfId="834"/>
    <cellStyle name="Input 5 2 4" xfId="835"/>
    <cellStyle name="Input 5 2 4 2" xfId="836"/>
    <cellStyle name="Input 5 2 4 2 2" xfId="837"/>
    <cellStyle name="Input 5 2 4 3" xfId="838"/>
    <cellStyle name="Input 5 2 5" xfId="839"/>
    <cellStyle name="Input 5 2 5 2" xfId="840"/>
    <cellStyle name="Input 5 2 6" xfId="841"/>
    <cellStyle name="Input 5 3" xfId="842"/>
    <cellStyle name="Input 5 3 2" xfId="843"/>
    <cellStyle name="Input 5 3 2 2" xfId="844"/>
    <cellStyle name="Input 5 3 2 2 2" xfId="845"/>
    <cellStyle name="Input 5 3 2 3" xfId="846"/>
    <cellStyle name="Input 5 3 3" xfId="847"/>
    <cellStyle name="Input 5 3 3 2" xfId="848"/>
    <cellStyle name="Input 5 3 4" xfId="849"/>
    <cellStyle name="Input 5 4" xfId="850"/>
    <cellStyle name="Input 5 4 2" xfId="851"/>
    <cellStyle name="Input 5 4 2 2" xfId="852"/>
    <cellStyle name="Input 5 4 2 2 2" xfId="853"/>
    <cellStyle name="Input 5 4 2 3" xfId="854"/>
    <cellStyle name="Input 5 4 3" xfId="855"/>
    <cellStyle name="Input 5 4 3 2" xfId="856"/>
    <cellStyle name="Input 5 4 4" xfId="857"/>
    <cellStyle name="Input 5 5" xfId="858"/>
    <cellStyle name="Input 5 5 2" xfId="859"/>
    <cellStyle name="Input 5 5 2 2" xfId="860"/>
    <cellStyle name="Input 5 5 3" xfId="861"/>
    <cellStyle name="Input 5 6" xfId="862"/>
    <cellStyle name="Input 5 6 2" xfId="863"/>
    <cellStyle name="Input 5 7" xfId="864"/>
    <cellStyle name="Input 6" xfId="201"/>
    <cellStyle name="Input 6 2" xfId="202"/>
    <cellStyle name="Input 6 2 2" xfId="865"/>
    <cellStyle name="Input 6 2 2 2" xfId="866"/>
    <cellStyle name="Input 6 2 2 2 2" xfId="867"/>
    <cellStyle name="Input 6 2 2 2 2 2" xfId="868"/>
    <cellStyle name="Input 6 2 2 2 3" xfId="869"/>
    <cellStyle name="Input 6 2 2 3" xfId="870"/>
    <cellStyle name="Input 6 2 2 3 2" xfId="871"/>
    <cellStyle name="Input 6 2 2 4" xfId="872"/>
    <cellStyle name="Input 6 2 3" xfId="873"/>
    <cellStyle name="Input 6 2 3 2" xfId="874"/>
    <cellStyle name="Input 6 2 3 2 2" xfId="875"/>
    <cellStyle name="Input 6 2 3 2 2 2" xfId="876"/>
    <cellStyle name="Input 6 2 3 2 3" xfId="877"/>
    <cellStyle name="Input 6 2 3 3" xfId="878"/>
    <cellStyle name="Input 6 2 3 3 2" xfId="879"/>
    <cellStyle name="Input 6 2 3 4" xfId="880"/>
    <cellStyle name="Input 6 2 4" xfId="881"/>
    <cellStyle name="Input 6 2 4 2" xfId="882"/>
    <cellStyle name="Input 6 2 4 2 2" xfId="883"/>
    <cellStyle name="Input 6 2 4 3" xfId="884"/>
    <cellStyle name="Input 6 2 5" xfId="885"/>
    <cellStyle name="Input 6 2 5 2" xfId="886"/>
    <cellStyle name="Input 6 2 6" xfId="887"/>
    <cellStyle name="Input 6 3" xfId="888"/>
    <cellStyle name="Input 6 3 2" xfId="889"/>
    <cellStyle name="Input 6 3 2 2" xfId="890"/>
    <cellStyle name="Input 6 3 2 2 2" xfId="891"/>
    <cellStyle name="Input 6 3 2 3" xfId="892"/>
    <cellStyle name="Input 6 3 3" xfId="893"/>
    <cellStyle name="Input 6 3 3 2" xfId="894"/>
    <cellStyle name="Input 6 3 4" xfId="895"/>
    <cellStyle name="Input 6 4" xfId="896"/>
    <cellStyle name="Input 6 4 2" xfId="897"/>
    <cellStyle name="Input 6 4 2 2" xfId="898"/>
    <cellStyle name="Input 6 4 2 2 2" xfId="899"/>
    <cellStyle name="Input 6 4 2 3" xfId="900"/>
    <cellStyle name="Input 6 4 3" xfId="901"/>
    <cellStyle name="Input 6 4 3 2" xfId="902"/>
    <cellStyle name="Input 6 4 4" xfId="903"/>
    <cellStyle name="Input 6 5" xfId="904"/>
    <cellStyle name="Input 6 5 2" xfId="905"/>
    <cellStyle name="Input 6 5 2 2" xfId="906"/>
    <cellStyle name="Input 6 5 3" xfId="907"/>
    <cellStyle name="Input 6 6" xfId="908"/>
    <cellStyle name="Input 6 6 2" xfId="909"/>
    <cellStyle name="Input 6 7" xfId="910"/>
    <cellStyle name="Input 7" xfId="203"/>
    <cellStyle name="Input 7 2" xfId="204"/>
    <cellStyle name="Input 7 2 2" xfId="911"/>
    <cellStyle name="Input 7 2 2 2" xfId="912"/>
    <cellStyle name="Input 7 2 2 2 2" xfId="913"/>
    <cellStyle name="Input 7 2 2 2 2 2" xfId="914"/>
    <cellStyle name="Input 7 2 2 2 3" xfId="915"/>
    <cellStyle name="Input 7 2 2 3" xfId="916"/>
    <cellStyle name="Input 7 2 2 3 2" xfId="917"/>
    <cellStyle name="Input 7 2 2 4" xfId="918"/>
    <cellStyle name="Input 7 2 3" xfId="919"/>
    <cellStyle name="Input 7 2 3 2" xfId="920"/>
    <cellStyle name="Input 7 2 3 2 2" xfId="921"/>
    <cellStyle name="Input 7 2 3 2 2 2" xfId="922"/>
    <cellStyle name="Input 7 2 3 2 3" xfId="923"/>
    <cellStyle name="Input 7 2 3 3" xfId="924"/>
    <cellStyle name="Input 7 2 3 3 2" xfId="925"/>
    <cellStyle name="Input 7 2 3 4" xfId="926"/>
    <cellStyle name="Input 7 2 4" xfId="927"/>
    <cellStyle name="Input 7 2 4 2" xfId="928"/>
    <cellStyle name="Input 7 2 4 2 2" xfId="929"/>
    <cellStyle name="Input 7 2 4 3" xfId="930"/>
    <cellStyle name="Input 7 2 5" xfId="931"/>
    <cellStyle name="Input 7 2 5 2" xfId="932"/>
    <cellStyle name="Input 7 2 6" xfId="933"/>
    <cellStyle name="Input 7 3" xfId="934"/>
    <cellStyle name="Input 7 3 2" xfId="935"/>
    <cellStyle name="Input 7 3 2 2" xfId="936"/>
    <cellStyle name="Input 7 3 2 2 2" xfId="937"/>
    <cellStyle name="Input 7 3 2 3" xfId="938"/>
    <cellStyle name="Input 7 3 3" xfId="939"/>
    <cellStyle name="Input 7 3 3 2" xfId="940"/>
    <cellStyle name="Input 7 3 4" xfId="941"/>
    <cellStyle name="Input 7 4" xfId="942"/>
    <cellStyle name="Input 7 4 2" xfId="943"/>
    <cellStyle name="Input 7 4 2 2" xfId="944"/>
    <cellStyle name="Input 7 4 2 2 2" xfId="945"/>
    <cellStyle name="Input 7 4 2 3" xfId="946"/>
    <cellStyle name="Input 7 4 3" xfId="947"/>
    <cellStyle name="Input 7 4 3 2" xfId="948"/>
    <cellStyle name="Input 7 4 4" xfId="949"/>
    <cellStyle name="Input 7 5" xfId="950"/>
    <cellStyle name="Input 7 5 2" xfId="951"/>
    <cellStyle name="Input 7 5 2 2" xfId="952"/>
    <cellStyle name="Input 7 5 3" xfId="953"/>
    <cellStyle name="Input 7 6" xfId="954"/>
    <cellStyle name="Input 7 6 2" xfId="955"/>
    <cellStyle name="Input 7 7" xfId="956"/>
    <cellStyle name="Input 8" xfId="205"/>
    <cellStyle name="Input 8 2" xfId="957"/>
    <cellStyle name="Input 8 2 2" xfId="958"/>
    <cellStyle name="Input 8 2 2 2" xfId="959"/>
    <cellStyle name="Input 8 2 2 2 2" xfId="960"/>
    <cellStyle name="Input 8 2 2 3" xfId="961"/>
    <cellStyle name="Input 8 2 3" xfId="962"/>
    <cellStyle name="Input 8 2 3 2" xfId="963"/>
    <cellStyle name="Input 8 2 4" xfId="964"/>
    <cellStyle name="Input 8 3" xfId="965"/>
    <cellStyle name="Input 8 3 2" xfId="966"/>
    <cellStyle name="Input 8 3 2 2" xfId="967"/>
    <cellStyle name="Input 8 3 2 2 2" xfId="968"/>
    <cellStyle name="Input 8 3 2 3" xfId="969"/>
    <cellStyle name="Input 8 3 3" xfId="970"/>
    <cellStyle name="Input 8 3 3 2" xfId="971"/>
    <cellStyle name="Input 8 3 4" xfId="972"/>
    <cellStyle name="Input 8 4" xfId="973"/>
    <cellStyle name="Input 8 4 2" xfId="974"/>
    <cellStyle name="Input 8 4 2 2" xfId="975"/>
    <cellStyle name="Input 8 4 3" xfId="976"/>
    <cellStyle name="Input 8 5" xfId="977"/>
    <cellStyle name="Input 8 5 2" xfId="978"/>
    <cellStyle name="Input 8 6" xfId="979"/>
    <cellStyle name="Input 9" xfId="980"/>
    <cellStyle name="Input 9 2" xfId="981"/>
    <cellStyle name="Input 9 2 2" xfId="982"/>
    <cellStyle name="Input 9 2 2 2" xfId="983"/>
    <cellStyle name="Input 9 2 3" xfId="984"/>
    <cellStyle name="Input 9 3" xfId="985"/>
    <cellStyle name="Input 9 3 2" xfId="986"/>
    <cellStyle name="Input 9 4" xfId="987"/>
    <cellStyle name="Linked Cell" xfId="54" builtinId="24" customBuiltin="1"/>
    <cellStyle name="Linked Cell 2" xfId="988"/>
    <cellStyle name="Neutral" xfId="55" builtinId="28" customBuiltin="1"/>
    <cellStyle name="Neutral 2" xfId="989"/>
    <cellStyle name="Normal" xfId="0" builtinId="0"/>
    <cellStyle name="Normal 10" xfId="342"/>
    <cellStyle name="Normal 10 2" xfId="343"/>
    <cellStyle name="Normal 10 3" xfId="990"/>
    <cellStyle name="Normal 10 4" xfId="991"/>
    <cellStyle name="Normal 10 5" xfId="992"/>
    <cellStyle name="Normal 11" xfId="206"/>
    <cellStyle name="Normal 12" xfId="993"/>
    <cellStyle name="Normal 12 2" xfId="994"/>
    <cellStyle name="Normal 12 3" xfId="995"/>
    <cellStyle name="Normal 12 4" xfId="996"/>
    <cellStyle name="Normal 2" xfId="56"/>
    <cellStyle name="Normal 3" xfId="57"/>
    <cellStyle name="Normal 3 2" xfId="107"/>
    <cellStyle name="Normal 3 3" xfId="207"/>
    <cellStyle name="Normal 3 4" xfId="208"/>
    <cellStyle name="Normal 3 5" xfId="209"/>
    <cellStyle name="Normal 3 6" xfId="210"/>
    <cellStyle name="Normal 3 7" xfId="211"/>
    <cellStyle name="Normal 3 8" xfId="212"/>
    <cellStyle name="Normal 4" xfId="213"/>
    <cellStyle name="Normal 5" xfId="214"/>
    <cellStyle name="Normal 6" xfId="280"/>
    <cellStyle name="Normal 6 2" xfId="997"/>
    <cellStyle name="Normal 6 3" xfId="998"/>
    <cellStyle name="Normal 6 4" xfId="999"/>
    <cellStyle name="Normal 6 5" xfId="1000"/>
    <cellStyle name="Normal 7" xfId="334"/>
    <cellStyle name="Normal 7 2" xfId="1001"/>
    <cellStyle name="Normal 7 3" xfId="1002"/>
    <cellStyle name="Normal 7 4" xfId="1003"/>
    <cellStyle name="Normal 7 5" xfId="1004"/>
    <cellStyle name="Normal 8" xfId="282"/>
    <cellStyle name="Normal 8 2" xfId="1005"/>
    <cellStyle name="Normal 8 3" xfId="1006"/>
    <cellStyle name="Normal 8 4" xfId="1007"/>
    <cellStyle name="Normal 8 5" xfId="1008"/>
    <cellStyle name="Normal 9" xfId="1009"/>
    <cellStyle name="Normal 9 2" xfId="1010"/>
    <cellStyle name="Normal 9 3" xfId="1011"/>
    <cellStyle name="Normal 9 4" xfId="1012"/>
    <cellStyle name="Normal_)" xfId="58"/>
    <cellStyle name="Normal_)_Pete's YoBrew Wine, Jam Etc. Calc's v1.1 DO NOT LOCK" xfId="59"/>
    <cellStyle name="Normal_1.4WinrF" xfId="106"/>
    <cellStyle name="Normal_Beer Kit Calc's " xfId="60"/>
    <cellStyle name="Normal_Copy of Acid-Cal" xfId="283"/>
    <cellStyle name="Normal_Copy of Acid-Cal 2" xfId="285"/>
    <cellStyle name="Normal_General Calc's" xfId="61"/>
    <cellStyle name="Normal_General Calc's_1" xfId="62"/>
    <cellStyle name="Normal_Peter's B &amp; W Ca" xfId="63"/>
    <cellStyle name="Normal_Peter's B &amp; W Ca 2" xfId="215"/>
    <cellStyle name="Normal_Peter's B &amp; W Ca_1112MASTERbeer" xfId="103"/>
    <cellStyle name="Normal_Peter's B &amp; W Ca_Primer" xfId="345"/>
    <cellStyle name="Normal_Peter's B &amp; W Calc  1.03work" xfId="64"/>
    <cellStyle name="Normal_Peter's B &amp; W Calc  1.03work_Pete's YoBrew Wine, Jam Etc. Calc's v1.1 DO NOT LOCK" xfId="65"/>
    <cellStyle name="Normal_Peter's B &amp; W Calc  1.05" xfId="66"/>
    <cellStyle name="Normal_Pete's YoBrew Ca" xfId="67"/>
    <cellStyle name="Normal_Pete's YoBrew Ca 2" xfId="108"/>
    <cellStyle name="Normal_Pete's YoBrew Ca 3" xfId="284"/>
    <cellStyle name="Normal_Pete's YoBrew Ca_Beer Kit" xfId="68"/>
    <cellStyle name="Normal_Pete's YoBrew Calcs v1.12" xfId="69"/>
    <cellStyle name="Normal_Pete's YoBrew Calcs v1.12_Pete's YoBrew Wine, Jam Etc. Calc's v1.1 DO NOT LOCK" xfId="70"/>
    <cellStyle name="Normal_Pete's YoBrew Calcs v1.2-Excel" xfId="71"/>
    <cellStyle name="Normal_Pete's YoBrew Calcs v1.2-Excel Final" xfId="72"/>
    <cellStyle name="Normal_Pete's YoBrew Calcs v1.2-Excel_)" xfId="73"/>
    <cellStyle name="Normal_Pete's YoBrew Calcs v1.2-Excel_)_Pete's YoBrew Wine, Jam Etc. Calc's v1.1 DO NOT LOCK" xfId="74"/>
    <cellStyle name="Normal_Pete's YoBrew Calcs v1.2-Excel_1" xfId="75"/>
    <cellStyle name="Normal_Pete's YoBrew Calcs v1.2-Excel_1_Pete's YoBrew Wine, Jam Etc. Calc's v1.1 DO NOT LOCK" xfId="76"/>
    <cellStyle name="Normal_Pete's YoBrew Calcs v1.2-Excel_1_Pete's_YoBrew_Wine,_Jam_Etc._Calc's_v1.3" xfId="77"/>
    <cellStyle name="Normal_Pete's YoBrew Calcs v1.2-Excel_Pete's YoBrew Calcs v1.4-ExcelM" xfId="78"/>
    <cellStyle name="Normal_Pete's YoBrew Calcs v1.2-Excel_Pete's YoBrew Calcs v1.4-ExcelM_Pete's YoBrew Wine, Jam Etc. Calc's v1.1 DO NOT LOCK" xfId="79"/>
    <cellStyle name="Normal_Pete's YoBrew Calcs v1.2-Excel_Pete's YoBrew Calcs v1.4-ExcelM_Pete's YoBrew Wine, Jam Etc. Calc's v1.2" xfId="80"/>
    <cellStyle name="Normal_Pete's YoBrew Calcs v1.2-Excel_Pete's YoBrew Calcs v1.4-ExcelM_Pete's_YoBrew_Wine,_Jam_Etc._Calc's_v1.3" xfId="81"/>
    <cellStyle name="Normal_Pete's YoBrew Calcs v1.2-Excel_Pete's YoBrew Calcs v1.5-WIP" xfId="82"/>
    <cellStyle name="Normal_Pete's YoBrew Calcs v1.4-ExcelM" xfId="83"/>
    <cellStyle name="Normal_Pete's YoBrew Calcs v1.5-WIP" xfId="84"/>
    <cellStyle name="Normal_Pete's YoBrew Calcs v1.5-WIP_Pete's YoBrew Beer Calc's v1.1 DO NOT LOCK" xfId="85"/>
    <cellStyle name="Normal_Pete's YoBrew Calcs v1.5-WIP_Pete's YoBrew Wine, Jam Etc. Calc's v1.1 DO NOT LOCK" xfId="86"/>
    <cellStyle name="Normal_Pete's YoBrew Wine, Jam Etc. Calc's v1.2" xfId="87"/>
    <cellStyle name="Normal_Petes_YoBrew_Cal" xfId="88"/>
    <cellStyle name="Normal_Pete's_YoBrew_Wine,_Jam_Etc._Calc's_v1.3" xfId="89"/>
    <cellStyle name="Normal_Primer 2" xfId="344"/>
    <cellStyle name="Normal_Sheet1_4+ YoBrew" xfId="281"/>
    <cellStyle name="Normal_yeast average ef" xfId="105"/>
    <cellStyle name="Normal_yeast average efficiency" xfId="90"/>
    <cellStyle name="Normal_YOBREW Beer Prim" xfId="104"/>
    <cellStyle name="Normal_YOBREW Beer Primer" xfId="91"/>
    <cellStyle name="Normal_YOBREW Beer Primer_Pete's YoBrew Wine, Jam Etc. Calc's v1.1 DO NOT LOCK" xfId="92"/>
    <cellStyle name="Note" xfId="93" builtinId="10" customBuiltin="1"/>
    <cellStyle name="Note 10" xfId="1013"/>
    <cellStyle name="Note 10 2" xfId="1014"/>
    <cellStyle name="Note 10 2 2" xfId="1015"/>
    <cellStyle name="Note 10 2 2 2" xfId="1016"/>
    <cellStyle name="Note 10 2 3" xfId="1017"/>
    <cellStyle name="Note 10 3" xfId="1018"/>
    <cellStyle name="Note 10 3 2" xfId="1019"/>
    <cellStyle name="Note 10 4" xfId="1020"/>
    <cellStyle name="Note 2" xfId="94"/>
    <cellStyle name="Note 2 10" xfId="1021"/>
    <cellStyle name="Note 2 10 2" xfId="1022"/>
    <cellStyle name="Note 2 10 2 2" xfId="1023"/>
    <cellStyle name="Note 2 10 2 2 2" xfId="1024"/>
    <cellStyle name="Note 2 10 2 3" xfId="1025"/>
    <cellStyle name="Note 2 10 3" xfId="1026"/>
    <cellStyle name="Note 2 10 3 2" xfId="1027"/>
    <cellStyle name="Note 2 10 4" xfId="1028"/>
    <cellStyle name="Note 2 11" xfId="1029"/>
    <cellStyle name="Note 2 11 2" xfId="1030"/>
    <cellStyle name="Note 2 11 2 2" xfId="1031"/>
    <cellStyle name="Note 2 11 3" xfId="1032"/>
    <cellStyle name="Note 2 12" xfId="1033"/>
    <cellStyle name="Note 2 12 2" xfId="1034"/>
    <cellStyle name="Note 2 13" xfId="1035"/>
    <cellStyle name="Note 2 2" xfId="216"/>
    <cellStyle name="Note 2 2 2" xfId="217"/>
    <cellStyle name="Note 2 2 2 2" xfId="1036"/>
    <cellStyle name="Note 2 2 2 2 2" xfId="1037"/>
    <cellStyle name="Note 2 2 2 2 2 2" xfId="1038"/>
    <cellStyle name="Note 2 2 2 2 2 2 2" xfId="1039"/>
    <cellStyle name="Note 2 2 2 2 2 3" xfId="1040"/>
    <cellStyle name="Note 2 2 2 2 3" xfId="1041"/>
    <cellStyle name="Note 2 2 2 2 3 2" xfId="1042"/>
    <cellStyle name="Note 2 2 2 2 4" xfId="1043"/>
    <cellStyle name="Note 2 2 2 3" xfId="1044"/>
    <cellStyle name="Note 2 2 2 3 2" xfId="1045"/>
    <cellStyle name="Note 2 2 2 3 2 2" xfId="1046"/>
    <cellStyle name="Note 2 2 2 3 2 2 2" xfId="1047"/>
    <cellStyle name="Note 2 2 2 3 2 3" xfId="1048"/>
    <cellStyle name="Note 2 2 2 3 3" xfId="1049"/>
    <cellStyle name="Note 2 2 2 3 3 2" xfId="1050"/>
    <cellStyle name="Note 2 2 2 3 4" xfId="1051"/>
    <cellStyle name="Note 2 2 2 4" xfId="1052"/>
    <cellStyle name="Note 2 2 2 4 2" xfId="1053"/>
    <cellStyle name="Note 2 2 2 4 2 2" xfId="1054"/>
    <cellStyle name="Note 2 2 2 4 3" xfId="1055"/>
    <cellStyle name="Note 2 2 2 5" xfId="1056"/>
    <cellStyle name="Note 2 2 2 5 2" xfId="1057"/>
    <cellStyle name="Note 2 2 2 6" xfId="1058"/>
    <cellStyle name="Note 2 2 3" xfId="335"/>
    <cellStyle name="Note 2 2 3 2" xfId="1059"/>
    <cellStyle name="Note 2 2 3 2 2" xfId="1060"/>
    <cellStyle name="Note 2 2 3 2 2 2" xfId="1061"/>
    <cellStyle name="Note 2 2 3 2 3" xfId="1062"/>
    <cellStyle name="Note 2 2 3 3" xfId="1063"/>
    <cellStyle name="Note 2 2 3 3 2" xfId="1064"/>
    <cellStyle name="Note 2 2 3 4" xfId="1065"/>
    <cellStyle name="Note 2 2 4" xfId="1066"/>
    <cellStyle name="Note 2 2 4 2" xfId="1067"/>
    <cellStyle name="Note 2 2 4 2 2" xfId="1068"/>
    <cellStyle name="Note 2 2 4 2 2 2" xfId="1069"/>
    <cellStyle name="Note 2 2 4 2 3" xfId="1070"/>
    <cellStyle name="Note 2 2 4 3" xfId="1071"/>
    <cellStyle name="Note 2 2 4 3 2" xfId="1072"/>
    <cellStyle name="Note 2 2 4 4" xfId="1073"/>
    <cellStyle name="Note 2 2 5" xfId="1074"/>
    <cellStyle name="Note 2 2 5 2" xfId="1075"/>
    <cellStyle name="Note 2 2 5 2 2" xfId="1076"/>
    <cellStyle name="Note 2 2 5 3" xfId="1077"/>
    <cellStyle name="Note 2 2 6" xfId="1078"/>
    <cellStyle name="Note 2 2 6 2" xfId="1079"/>
    <cellStyle name="Note 2 2 7" xfId="1080"/>
    <cellStyle name="Note 2 3" xfId="218"/>
    <cellStyle name="Note 2 3 2" xfId="219"/>
    <cellStyle name="Note 2 3 2 2" xfId="1081"/>
    <cellStyle name="Note 2 3 2 2 2" xfId="1082"/>
    <cellStyle name="Note 2 3 2 2 2 2" xfId="1083"/>
    <cellStyle name="Note 2 3 2 2 2 2 2" xfId="1084"/>
    <cellStyle name="Note 2 3 2 2 2 3" xfId="1085"/>
    <cellStyle name="Note 2 3 2 2 3" xfId="1086"/>
    <cellStyle name="Note 2 3 2 2 3 2" xfId="1087"/>
    <cellStyle name="Note 2 3 2 2 4" xfId="1088"/>
    <cellStyle name="Note 2 3 2 3" xfId="1089"/>
    <cellStyle name="Note 2 3 2 3 2" xfId="1090"/>
    <cellStyle name="Note 2 3 2 3 2 2" xfId="1091"/>
    <cellStyle name="Note 2 3 2 3 2 2 2" xfId="1092"/>
    <cellStyle name="Note 2 3 2 3 2 3" xfId="1093"/>
    <cellStyle name="Note 2 3 2 3 3" xfId="1094"/>
    <cellStyle name="Note 2 3 2 3 3 2" xfId="1095"/>
    <cellStyle name="Note 2 3 2 3 4" xfId="1096"/>
    <cellStyle name="Note 2 3 2 4" xfId="1097"/>
    <cellStyle name="Note 2 3 2 4 2" xfId="1098"/>
    <cellStyle name="Note 2 3 2 4 2 2" xfId="1099"/>
    <cellStyle name="Note 2 3 2 4 3" xfId="1100"/>
    <cellStyle name="Note 2 3 2 5" xfId="1101"/>
    <cellStyle name="Note 2 3 2 5 2" xfId="1102"/>
    <cellStyle name="Note 2 3 2 6" xfId="1103"/>
    <cellStyle name="Note 2 3 3" xfId="1104"/>
    <cellStyle name="Note 2 3 3 2" xfId="1105"/>
    <cellStyle name="Note 2 3 3 2 2" xfId="1106"/>
    <cellStyle name="Note 2 3 3 2 2 2" xfId="1107"/>
    <cellStyle name="Note 2 3 3 2 3" xfId="1108"/>
    <cellStyle name="Note 2 3 3 3" xfId="1109"/>
    <cellStyle name="Note 2 3 3 3 2" xfId="1110"/>
    <cellStyle name="Note 2 3 3 4" xfId="1111"/>
    <cellStyle name="Note 2 3 4" xfId="1112"/>
    <cellStyle name="Note 2 3 4 2" xfId="1113"/>
    <cellStyle name="Note 2 3 4 2 2" xfId="1114"/>
    <cellStyle name="Note 2 3 4 2 2 2" xfId="1115"/>
    <cellStyle name="Note 2 3 4 2 3" xfId="1116"/>
    <cellStyle name="Note 2 3 4 3" xfId="1117"/>
    <cellStyle name="Note 2 3 4 3 2" xfId="1118"/>
    <cellStyle name="Note 2 3 4 4" xfId="1119"/>
    <cellStyle name="Note 2 3 5" xfId="1120"/>
    <cellStyle name="Note 2 3 5 2" xfId="1121"/>
    <cellStyle name="Note 2 3 5 2 2" xfId="1122"/>
    <cellStyle name="Note 2 3 5 3" xfId="1123"/>
    <cellStyle name="Note 2 3 6" xfId="1124"/>
    <cellStyle name="Note 2 3 6 2" xfId="1125"/>
    <cellStyle name="Note 2 3 7" xfId="1126"/>
    <cellStyle name="Note 2 4" xfId="220"/>
    <cellStyle name="Note 2 4 2" xfId="221"/>
    <cellStyle name="Note 2 4 2 2" xfId="1127"/>
    <cellStyle name="Note 2 4 2 2 2" xfId="1128"/>
    <cellStyle name="Note 2 4 2 2 2 2" xfId="1129"/>
    <cellStyle name="Note 2 4 2 2 2 2 2" xfId="1130"/>
    <cellStyle name="Note 2 4 2 2 2 3" xfId="1131"/>
    <cellStyle name="Note 2 4 2 2 3" xfId="1132"/>
    <cellStyle name="Note 2 4 2 2 3 2" xfId="1133"/>
    <cellStyle name="Note 2 4 2 2 4" xfId="1134"/>
    <cellStyle name="Note 2 4 2 3" xfId="1135"/>
    <cellStyle name="Note 2 4 2 3 2" xfId="1136"/>
    <cellStyle name="Note 2 4 2 3 2 2" xfId="1137"/>
    <cellStyle name="Note 2 4 2 3 2 2 2" xfId="1138"/>
    <cellStyle name="Note 2 4 2 3 2 3" xfId="1139"/>
    <cellStyle name="Note 2 4 2 3 3" xfId="1140"/>
    <cellStyle name="Note 2 4 2 3 3 2" xfId="1141"/>
    <cellStyle name="Note 2 4 2 3 4" xfId="1142"/>
    <cellStyle name="Note 2 4 2 4" xfId="1143"/>
    <cellStyle name="Note 2 4 2 4 2" xfId="1144"/>
    <cellStyle name="Note 2 4 2 4 2 2" xfId="1145"/>
    <cellStyle name="Note 2 4 2 4 3" xfId="1146"/>
    <cellStyle name="Note 2 4 2 5" xfId="1147"/>
    <cellStyle name="Note 2 4 2 5 2" xfId="1148"/>
    <cellStyle name="Note 2 4 2 6" xfId="1149"/>
    <cellStyle name="Note 2 4 3" xfId="1150"/>
    <cellStyle name="Note 2 4 3 2" xfId="1151"/>
    <cellStyle name="Note 2 4 3 2 2" xfId="1152"/>
    <cellStyle name="Note 2 4 3 2 2 2" xfId="1153"/>
    <cellStyle name="Note 2 4 3 2 3" xfId="1154"/>
    <cellStyle name="Note 2 4 3 3" xfId="1155"/>
    <cellStyle name="Note 2 4 3 3 2" xfId="1156"/>
    <cellStyle name="Note 2 4 3 4" xfId="1157"/>
    <cellStyle name="Note 2 4 4" xfId="1158"/>
    <cellStyle name="Note 2 4 4 2" xfId="1159"/>
    <cellStyle name="Note 2 4 4 2 2" xfId="1160"/>
    <cellStyle name="Note 2 4 4 2 2 2" xfId="1161"/>
    <cellStyle name="Note 2 4 4 2 3" xfId="1162"/>
    <cellStyle name="Note 2 4 4 3" xfId="1163"/>
    <cellStyle name="Note 2 4 4 3 2" xfId="1164"/>
    <cellStyle name="Note 2 4 4 4" xfId="1165"/>
    <cellStyle name="Note 2 4 5" xfId="1166"/>
    <cellStyle name="Note 2 4 5 2" xfId="1167"/>
    <cellStyle name="Note 2 4 5 2 2" xfId="1168"/>
    <cellStyle name="Note 2 4 5 3" xfId="1169"/>
    <cellStyle name="Note 2 4 6" xfId="1170"/>
    <cellStyle name="Note 2 4 6 2" xfId="1171"/>
    <cellStyle name="Note 2 4 7" xfId="1172"/>
    <cellStyle name="Note 2 5" xfId="222"/>
    <cellStyle name="Note 2 5 2" xfId="223"/>
    <cellStyle name="Note 2 5 2 2" xfId="1173"/>
    <cellStyle name="Note 2 5 2 2 2" xfId="1174"/>
    <cellStyle name="Note 2 5 2 2 2 2" xfId="1175"/>
    <cellStyle name="Note 2 5 2 2 2 2 2" xfId="1176"/>
    <cellStyle name="Note 2 5 2 2 2 3" xfId="1177"/>
    <cellStyle name="Note 2 5 2 2 3" xfId="1178"/>
    <cellStyle name="Note 2 5 2 2 3 2" xfId="1179"/>
    <cellStyle name="Note 2 5 2 2 4" xfId="1180"/>
    <cellStyle name="Note 2 5 2 3" xfId="1181"/>
    <cellStyle name="Note 2 5 2 3 2" xfId="1182"/>
    <cellStyle name="Note 2 5 2 3 2 2" xfId="1183"/>
    <cellStyle name="Note 2 5 2 3 2 2 2" xfId="1184"/>
    <cellStyle name="Note 2 5 2 3 2 3" xfId="1185"/>
    <cellStyle name="Note 2 5 2 3 3" xfId="1186"/>
    <cellStyle name="Note 2 5 2 3 3 2" xfId="1187"/>
    <cellStyle name="Note 2 5 2 3 4" xfId="1188"/>
    <cellStyle name="Note 2 5 2 4" xfId="1189"/>
    <cellStyle name="Note 2 5 2 4 2" xfId="1190"/>
    <cellStyle name="Note 2 5 2 4 2 2" xfId="1191"/>
    <cellStyle name="Note 2 5 2 4 3" xfId="1192"/>
    <cellStyle name="Note 2 5 2 5" xfId="1193"/>
    <cellStyle name="Note 2 5 2 5 2" xfId="1194"/>
    <cellStyle name="Note 2 5 2 6" xfId="1195"/>
    <cellStyle name="Note 2 5 3" xfId="1196"/>
    <cellStyle name="Note 2 5 3 2" xfId="1197"/>
    <cellStyle name="Note 2 5 3 2 2" xfId="1198"/>
    <cellStyle name="Note 2 5 3 2 2 2" xfId="1199"/>
    <cellStyle name="Note 2 5 3 2 3" xfId="1200"/>
    <cellStyle name="Note 2 5 3 3" xfId="1201"/>
    <cellStyle name="Note 2 5 3 3 2" xfId="1202"/>
    <cellStyle name="Note 2 5 3 4" xfId="1203"/>
    <cellStyle name="Note 2 5 4" xfId="1204"/>
    <cellStyle name="Note 2 5 4 2" xfId="1205"/>
    <cellStyle name="Note 2 5 4 2 2" xfId="1206"/>
    <cellStyle name="Note 2 5 4 2 2 2" xfId="1207"/>
    <cellStyle name="Note 2 5 4 2 3" xfId="1208"/>
    <cellStyle name="Note 2 5 4 3" xfId="1209"/>
    <cellStyle name="Note 2 5 4 3 2" xfId="1210"/>
    <cellStyle name="Note 2 5 4 4" xfId="1211"/>
    <cellStyle name="Note 2 5 5" xfId="1212"/>
    <cellStyle name="Note 2 5 5 2" xfId="1213"/>
    <cellStyle name="Note 2 5 5 2 2" xfId="1214"/>
    <cellStyle name="Note 2 5 5 3" xfId="1215"/>
    <cellStyle name="Note 2 5 6" xfId="1216"/>
    <cellStyle name="Note 2 5 6 2" xfId="1217"/>
    <cellStyle name="Note 2 5 7" xfId="1218"/>
    <cellStyle name="Note 2 6" xfId="224"/>
    <cellStyle name="Note 2 6 2" xfId="225"/>
    <cellStyle name="Note 2 6 2 2" xfId="1219"/>
    <cellStyle name="Note 2 6 2 2 2" xfId="1220"/>
    <cellStyle name="Note 2 6 2 2 2 2" xfId="1221"/>
    <cellStyle name="Note 2 6 2 2 2 2 2" xfId="1222"/>
    <cellStyle name="Note 2 6 2 2 2 3" xfId="1223"/>
    <cellStyle name="Note 2 6 2 2 3" xfId="1224"/>
    <cellStyle name="Note 2 6 2 2 3 2" xfId="1225"/>
    <cellStyle name="Note 2 6 2 2 4" xfId="1226"/>
    <cellStyle name="Note 2 6 2 3" xfId="1227"/>
    <cellStyle name="Note 2 6 2 3 2" xfId="1228"/>
    <cellStyle name="Note 2 6 2 3 2 2" xfId="1229"/>
    <cellStyle name="Note 2 6 2 3 2 2 2" xfId="1230"/>
    <cellStyle name="Note 2 6 2 3 2 3" xfId="1231"/>
    <cellStyle name="Note 2 6 2 3 3" xfId="1232"/>
    <cellStyle name="Note 2 6 2 3 3 2" xfId="1233"/>
    <cellStyle name="Note 2 6 2 3 4" xfId="1234"/>
    <cellStyle name="Note 2 6 2 4" xfId="1235"/>
    <cellStyle name="Note 2 6 2 4 2" xfId="1236"/>
    <cellStyle name="Note 2 6 2 4 2 2" xfId="1237"/>
    <cellStyle name="Note 2 6 2 4 3" xfId="1238"/>
    <cellStyle name="Note 2 6 2 5" xfId="1239"/>
    <cellStyle name="Note 2 6 2 5 2" xfId="1240"/>
    <cellStyle name="Note 2 6 2 6" xfId="1241"/>
    <cellStyle name="Note 2 6 3" xfId="1242"/>
    <cellStyle name="Note 2 6 3 2" xfId="1243"/>
    <cellStyle name="Note 2 6 3 2 2" xfId="1244"/>
    <cellStyle name="Note 2 6 3 2 2 2" xfId="1245"/>
    <cellStyle name="Note 2 6 3 2 3" xfId="1246"/>
    <cellStyle name="Note 2 6 3 3" xfId="1247"/>
    <cellStyle name="Note 2 6 3 3 2" xfId="1248"/>
    <cellStyle name="Note 2 6 3 4" xfId="1249"/>
    <cellStyle name="Note 2 6 4" xfId="1250"/>
    <cellStyle name="Note 2 6 4 2" xfId="1251"/>
    <cellStyle name="Note 2 6 4 2 2" xfId="1252"/>
    <cellStyle name="Note 2 6 4 2 2 2" xfId="1253"/>
    <cellStyle name="Note 2 6 4 2 3" xfId="1254"/>
    <cellStyle name="Note 2 6 4 3" xfId="1255"/>
    <cellStyle name="Note 2 6 4 3 2" xfId="1256"/>
    <cellStyle name="Note 2 6 4 4" xfId="1257"/>
    <cellStyle name="Note 2 6 5" xfId="1258"/>
    <cellStyle name="Note 2 6 5 2" xfId="1259"/>
    <cellStyle name="Note 2 6 5 2 2" xfId="1260"/>
    <cellStyle name="Note 2 6 5 3" xfId="1261"/>
    <cellStyle name="Note 2 6 6" xfId="1262"/>
    <cellStyle name="Note 2 6 6 2" xfId="1263"/>
    <cellStyle name="Note 2 6 7" xfId="1264"/>
    <cellStyle name="Note 2 7" xfId="226"/>
    <cellStyle name="Note 2 7 2" xfId="227"/>
    <cellStyle name="Note 2 7 2 2" xfId="1265"/>
    <cellStyle name="Note 2 7 2 2 2" xfId="1266"/>
    <cellStyle name="Note 2 7 2 2 2 2" xfId="1267"/>
    <cellStyle name="Note 2 7 2 2 2 2 2" xfId="1268"/>
    <cellStyle name="Note 2 7 2 2 2 3" xfId="1269"/>
    <cellStyle name="Note 2 7 2 2 3" xfId="1270"/>
    <cellStyle name="Note 2 7 2 2 3 2" xfId="1271"/>
    <cellStyle name="Note 2 7 2 2 4" xfId="1272"/>
    <cellStyle name="Note 2 7 2 3" xfId="1273"/>
    <cellStyle name="Note 2 7 2 3 2" xfId="1274"/>
    <cellStyle name="Note 2 7 2 3 2 2" xfId="1275"/>
    <cellStyle name="Note 2 7 2 3 2 2 2" xfId="1276"/>
    <cellStyle name="Note 2 7 2 3 2 3" xfId="1277"/>
    <cellStyle name="Note 2 7 2 3 3" xfId="1278"/>
    <cellStyle name="Note 2 7 2 3 3 2" xfId="1279"/>
    <cellStyle name="Note 2 7 2 3 4" xfId="1280"/>
    <cellStyle name="Note 2 7 2 4" xfId="1281"/>
    <cellStyle name="Note 2 7 2 4 2" xfId="1282"/>
    <cellStyle name="Note 2 7 2 4 2 2" xfId="1283"/>
    <cellStyle name="Note 2 7 2 4 3" xfId="1284"/>
    <cellStyle name="Note 2 7 2 5" xfId="1285"/>
    <cellStyle name="Note 2 7 2 5 2" xfId="1286"/>
    <cellStyle name="Note 2 7 2 6" xfId="1287"/>
    <cellStyle name="Note 2 7 3" xfId="1288"/>
    <cellStyle name="Note 2 7 3 2" xfId="1289"/>
    <cellStyle name="Note 2 7 3 2 2" xfId="1290"/>
    <cellStyle name="Note 2 7 3 2 2 2" xfId="1291"/>
    <cellStyle name="Note 2 7 3 2 3" xfId="1292"/>
    <cellStyle name="Note 2 7 3 3" xfId="1293"/>
    <cellStyle name="Note 2 7 3 3 2" xfId="1294"/>
    <cellStyle name="Note 2 7 3 4" xfId="1295"/>
    <cellStyle name="Note 2 7 4" xfId="1296"/>
    <cellStyle name="Note 2 7 4 2" xfId="1297"/>
    <cellStyle name="Note 2 7 4 2 2" xfId="1298"/>
    <cellStyle name="Note 2 7 4 2 2 2" xfId="1299"/>
    <cellStyle name="Note 2 7 4 2 3" xfId="1300"/>
    <cellStyle name="Note 2 7 4 3" xfId="1301"/>
    <cellStyle name="Note 2 7 4 3 2" xfId="1302"/>
    <cellStyle name="Note 2 7 4 4" xfId="1303"/>
    <cellStyle name="Note 2 7 5" xfId="1304"/>
    <cellStyle name="Note 2 7 5 2" xfId="1305"/>
    <cellStyle name="Note 2 7 5 2 2" xfId="1306"/>
    <cellStyle name="Note 2 7 5 3" xfId="1307"/>
    <cellStyle name="Note 2 7 6" xfId="1308"/>
    <cellStyle name="Note 2 7 6 2" xfId="1309"/>
    <cellStyle name="Note 2 7 7" xfId="1310"/>
    <cellStyle name="Note 2 8" xfId="228"/>
    <cellStyle name="Note 2 8 2" xfId="1311"/>
    <cellStyle name="Note 2 8 2 2" xfId="1312"/>
    <cellStyle name="Note 2 8 2 2 2" xfId="1313"/>
    <cellStyle name="Note 2 8 2 2 2 2" xfId="1314"/>
    <cellStyle name="Note 2 8 2 2 3" xfId="1315"/>
    <cellStyle name="Note 2 8 2 3" xfId="1316"/>
    <cellStyle name="Note 2 8 2 3 2" xfId="1317"/>
    <cellStyle name="Note 2 8 2 4" xfId="1318"/>
    <cellStyle name="Note 2 8 3" xfId="1319"/>
    <cellStyle name="Note 2 8 3 2" xfId="1320"/>
    <cellStyle name="Note 2 8 3 2 2" xfId="1321"/>
    <cellStyle name="Note 2 8 3 2 2 2" xfId="1322"/>
    <cellStyle name="Note 2 8 3 2 3" xfId="1323"/>
    <cellStyle name="Note 2 8 3 3" xfId="1324"/>
    <cellStyle name="Note 2 8 3 3 2" xfId="1325"/>
    <cellStyle name="Note 2 8 3 4" xfId="1326"/>
    <cellStyle name="Note 2 8 4" xfId="1327"/>
    <cellStyle name="Note 2 8 4 2" xfId="1328"/>
    <cellStyle name="Note 2 8 4 2 2" xfId="1329"/>
    <cellStyle name="Note 2 8 4 3" xfId="1330"/>
    <cellStyle name="Note 2 8 5" xfId="1331"/>
    <cellStyle name="Note 2 8 5 2" xfId="1332"/>
    <cellStyle name="Note 2 8 6" xfId="1333"/>
    <cellStyle name="Note 2 9" xfId="1334"/>
    <cellStyle name="Note 2 9 2" xfId="1335"/>
    <cellStyle name="Note 2 9 2 2" xfId="1336"/>
    <cellStyle name="Note 2 9 2 2 2" xfId="1337"/>
    <cellStyle name="Note 2 9 2 3" xfId="1338"/>
    <cellStyle name="Note 2 9 3" xfId="1339"/>
    <cellStyle name="Note 2 9 3 2" xfId="1340"/>
    <cellStyle name="Note 2 9 4" xfId="1341"/>
    <cellStyle name="Note 3" xfId="229"/>
    <cellStyle name="Note 3 2" xfId="230"/>
    <cellStyle name="Note 3 2 2" xfId="1342"/>
    <cellStyle name="Note 3 2 2 2" xfId="1343"/>
    <cellStyle name="Note 3 2 2 2 2" xfId="1344"/>
    <cellStyle name="Note 3 2 2 2 2 2" xfId="1345"/>
    <cellStyle name="Note 3 2 2 2 3" xfId="1346"/>
    <cellStyle name="Note 3 2 2 3" xfId="1347"/>
    <cellStyle name="Note 3 2 2 3 2" xfId="1348"/>
    <cellStyle name="Note 3 2 2 4" xfId="1349"/>
    <cellStyle name="Note 3 2 3" xfId="1350"/>
    <cellStyle name="Note 3 2 3 2" xfId="1351"/>
    <cellStyle name="Note 3 2 3 2 2" xfId="1352"/>
    <cellStyle name="Note 3 2 3 2 2 2" xfId="1353"/>
    <cellStyle name="Note 3 2 3 2 3" xfId="1354"/>
    <cellStyle name="Note 3 2 3 3" xfId="1355"/>
    <cellStyle name="Note 3 2 3 3 2" xfId="1356"/>
    <cellStyle name="Note 3 2 3 4" xfId="1357"/>
    <cellStyle name="Note 3 2 4" xfId="1358"/>
    <cellStyle name="Note 3 2 4 2" xfId="1359"/>
    <cellStyle name="Note 3 2 4 2 2" xfId="1360"/>
    <cellStyle name="Note 3 2 4 3" xfId="1361"/>
    <cellStyle name="Note 3 2 5" xfId="1362"/>
    <cellStyle name="Note 3 2 5 2" xfId="1363"/>
    <cellStyle name="Note 3 2 6" xfId="1364"/>
    <cellStyle name="Note 3 3" xfId="336"/>
    <cellStyle name="Note 3 3 2" xfId="1365"/>
    <cellStyle name="Note 3 3 2 2" xfId="1366"/>
    <cellStyle name="Note 3 3 2 2 2" xfId="1367"/>
    <cellStyle name="Note 3 3 2 3" xfId="1368"/>
    <cellStyle name="Note 3 3 3" xfId="1369"/>
    <cellStyle name="Note 3 3 3 2" xfId="1370"/>
    <cellStyle name="Note 3 3 4" xfId="1371"/>
    <cellStyle name="Note 3 4" xfId="1372"/>
    <cellStyle name="Note 3 4 2" xfId="1373"/>
    <cellStyle name="Note 3 4 2 2" xfId="1374"/>
    <cellStyle name="Note 3 4 2 2 2" xfId="1375"/>
    <cellStyle name="Note 3 4 2 3" xfId="1376"/>
    <cellStyle name="Note 3 4 3" xfId="1377"/>
    <cellStyle name="Note 3 4 3 2" xfId="1378"/>
    <cellStyle name="Note 3 4 4" xfId="1379"/>
    <cellStyle name="Note 3 5" xfId="1380"/>
    <cellStyle name="Note 3 5 2" xfId="1381"/>
    <cellStyle name="Note 3 5 2 2" xfId="1382"/>
    <cellStyle name="Note 3 5 3" xfId="1383"/>
    <cellStyle name="Note 3 6" xfId="1384"/>
    <cellStyle name="Note 3 6 2" xfId="1385"/>
    <cellStyle name="Note 3 7" xfId="1386"/>
    <cellStyle name="Note 4" xfId="231"/>
    <cellStyle name="Note 4 2" xfId="232"/>
    <cellStyle name="Note 4 2 2" xfId="1387"/>
    <cellStyle name="Note 4 2 2 2" xfId="1388"/>
    <cellStyle name="Note 4 2 2 2 2" xfId="1389"/>
    <cellStyle name="Note 4 2 2 2 2 2" xfId="1390"/>
    <cellStyle name="Note 4 2 2 2 3" xfId="1391"/>
    <cellStyle name="Note 4 2 2 3" xfId="1392"/>
    <cellStyle name="Note 4 2 2 3 2" xfId="1393"/>
    <cellStyle name="Note 4 2 2 4" xfId="1394"/>
    <cellStyle name="Note 4 2 3" xfId="1395"/>
    <cellStyle name="Note 4 2 3 2" xfId="1396"/>
    <cellStyle name="Note 4 2 3 2 2" xfId="1397"/>
    <cellStyle name="Note 4 2 3 2 2 2" xfId="1398"/>
    <cellStyle name="Note 4 2 3 2 3" xfId="1399"/>
    <cellStyle name="Note 4 2 3 3" xfId="1400"/>
    <cellStyle name="Note 4 2 3 3 2" xfId="1401"/>
    <cellStyle name="Note 4 2 3 4" xfId="1402"/>
    <cellStyle name="Note 4 2 4" xfId="1403"/>
    <cellStyle name="Note 4 2 4 2" xfId="1404"/>
    <cellStyle name="Note 4 2 4 2 2" xfId="1405"/>
    <cellStyle name="Note 4 2 4 3" xfId="1406"/>
    <cellStyle name="Note 4 2 5" xfId="1407"/>
    <cellStyle name="Note 4 2 5 2" xfId="1408"/>
    <cellStyle name="Note 4 2 6" xfId="1409"/>
    <cellStyle name="Note 4 3" xfId="1410"/>
    <cellStyle name="Note 4 3 2" xfId="1411"/>
    <cellStyle name="Note 4 3 2 2" xfId="1412"/>
    <cellStyle name="Note 4 3 2 2 2" xfId="1413"/>
    <cellStyle name="Note 4 3 2 3" xfId="1414"/>
    <cellStyle name="Note 4 3 3" xfId="1415"/>
    <cellStyle name="Note 4 3 3 2" xfId="1416"/>
    <cellStyle name="Note 4 3 4" xfId="1417"/>
    <cellStyle name="Note 4 4" xfId="1418"/>
    <cellStyle name="Note 4 4 2" xfId="1419"/>
    <cellStyle name="Note 4 4 2 2" xfId="1420"/>
    <cellStyle name="Note 4 4 2 2 2" xfId="1421"/>
    <cellStyle name="Note 4 4 2 3" xfId="1422"/>
    <cellStyle name="Note 4 4 3" xfId="1423"/>
    <cellStyle name="Note 4 4 3 2" xfId="1424"/>
    <cellStyle name="Note 4 4 4" xfId="1425"/>
    <cellStyle name="Note 4 5" xfId="1426"/>
    <cellStyle name="Note 4 5 2" xfId="1427"/>
    <cellStyle name="Note 4 5 2 2" xfId="1428"/>
    <cellStyle name="Note 4 5 3" xfId="1429"/>
    <cellStyle name="Note 4 6" xfId="1430"/>
    <cellStyle name="Note 4 6 2" xfId="1431"/>
    <cellStyle name="Note 4 7" xfId="1432"/>
    <cellStyle name="Note 5" xfId="233"/>
    <cellStyle name="Note 5 2" xfId="234"/>
    <cellStyle name="Note 5 2 2" xfId="1433"/>
    <cellStyle name="Note 5 2 2 2" xfId="1434"/>
    <cellStyle name="Note 5 2 2 2 2" xfId="1435"/>
    <cellStyle name="Note 5 2 2 2 2 2" xfId="1436"/>
    <cellStyle name="Note 5 2 2 2 3" xfId="1437"/>
    <cellStyle name="Note 5 2 2 3" xfId="1438"/>
    <cellStyle name="Note 5 2 2 3 2" xfId="1439"/>
    <cellStyle name="Note 5 2 2 4" xfId="1440"/>
    <cellStyle name="Note 5 2 3" xfId="1441"/>
    <cellStyle name="Note 5 2 3 2" xfId="1442"/>
    <cellStyle name="Note 5 2 3 2 2" xfId="1443"/>
    <cellStyle name="Note 5 2 3 2 2 2" xfId="1444"/>
    <cellStyle name="Note 5 2 3 2 3" xfId="1445"/>
    <cellStyle name="Note 5 2 3 3" xfId="1446"/>
    <cellStyle name="Note 5 2 3 3 2" xfId="1447"/>
    <cellStyle name="Note 5 2 3 4" xfId="1448"/>
    <cellStyle name="Note 5 2 4" xfId="1449"/>
    <cellStyle name="Note 5 2 4 2" xfId="1450"/>
    <cellStyle name="Note 5 2 4 2 2" xfId="1451"/>
    <cellStyle name="Note 5 2 4 3" xfId="1452"/>
    <cellStyle name="Note 5 2 5" xfId="1453"/>
    <cellStyle name="Note 5 2 5 2" xfId="1454"/>
    <cellStyle name="Note 5 2 6" xfId="1455"/>
    <cellStyle name="Note 5 3" xfId="1456"/>
    <cellStyle name="Note 5 3 2" xfId="1457"/>
    <cellStyle name="Note 5 3 2 2" xfId="1458"/>
    <cellStyle name="Note 5 3 2 2 2" xfId="1459"/>
    <cellStyle name="Note 5 3 2 3" xfId="1460"/>
    <cellStyle name="Note 5 3 3" xfId="1461"/>
    <cellStyle name="Note 5 3 3 2" xfId="1462"/>
    <cellStyle name="Note 5 3 4" xfId="1463"/>
    <cellStyle name="Note 5 4" xfId="1464"/>
    <cellStyle name="Note 5 4 2" xfId="1465"/>
    <cellStyle name="Note 5 4 2 2" xfId="1466"/>
    <cellStyle name="Note 5 4 2 2 2" xfId="1467"/>
    <cellStyle name="Note 5 4 2 3" xfId="1468"/>
    <cellStyle name="Note 5 4 3" xfId="1469"/>
    <cellStyle name="Note 5 4 3 2" xfId="1470"/>
    <cellStyle name="Note 5 4 4" xfId="1471"/>
    <cellStyle name="Note 5 5" xfId="1472"/>
    <cellStyle name="Note 5 5 2" xfId="1473"/>
    <cellStyle name="Note 5 5 2 2" xfId="1474"/>
    <cellStyle name="Note 5 5 3" xfId="1475"/>
    <cellStyle name="Note 5 6" xfId="1476"/>
    <cellStyle name="Note 5 6 2" xfId="1477"/>
    <cellStyle name="Note 5 7" xfId="1478"/>
    <cellStyle name="Note 6" xfId="235"/>
    <cellStyle name="Note 6 2" xfId="236"/>
    <cellStyle name="Note 6 2 2" xfId="1479"/>
    <cellStyle name="Note 6 2 2 2" xfId="1480"/>
    <cellStyle name="Note 6 2 2 2 2" xfId="1481"/>
    <cellStyle name="Note 6 2 2 2 2 2" xfId="1482"/>
    <cellStyle name="Note 6 2 2 2 3" xfId="1483"/>
    <cellStyle name="Note 6 2 2 3" xfId="1484"/>
    <cellStyle name="Note 6 2 2 3 2" xfId="1485"/>
    <cellStyle name="Note 6 2 2 4" xfId="1486"/>
    <cellStyle name="Note 6 2 3" xfId="1487"/>
    <cellStyle name="Note 6 2 3 2" xfId="1488"/>
    <cellStyle name="Note 6 2 3 2 2" xfId="1489"/>
    <cellStyle name="Note 6 2 3 2 2 2" xfId="1490"/>
    <cellStyle name="Note 6 2 3 2 3" xfId="1491"/>
    <cellStyle name="Note 6 2 3 3" xfId="1492"/>
    <cellStyle name="Note 6 2 3 3 2" xfId="1493"/>
    <cellStyle name="Note 6 2 3 4" xfId="1494"/>
    <cellStyle name="Note 6 2 4" xfId="1495"/>
    <cellStyle name="Note 6 2 4 2" xfId="1496"/>
    <cellStyle name="Note 6 2 4 2 2" xfId="1497"/>
    <cellStyle name="Note 6 2 4 3" xfId="1498"/>
    <cellStyle name="Note 6 2 5" xfId="1499"/>
    <cellStyle name="Note 6 2 5 2" xfId="1500"/>
    <cellStyle name="Note 6 2 6" xfId="1501"/>
    <cellStyle name="Note 6 3" xfId="1502"/>
    <cellStyle name="Note 6 3 2" xfId="1503"/>
    <cellStyle name="Note 6 3 2 2" xfId="1504"/>
    <cellStyle name="Note 6 3 2 2 2" xfId="1505"/>
    <cellStyle name="Note 6 3 2 3" xfId="1506"/>
    <cellStyle name="Note 6 3 3" xfId="1507"/>
    <cellStyle name="Note 6 3 3 2" xfId="1508"/>
    <cellStyle name="Note 6 3 4" xfId="1509"/>
    <cellStyle name="Note 6 4" xfId="1510"/>
    <cellStyle name="Note 6 4 2" xfId="1511"/>
    <cellStyle name="Note 6 4 2 2" xfId="1512"/>
    <cellStyle name="Note 6 4 2 2 2" xfId="1513"/>
    <cellStyle name="Note 6 4 2 3" xfId="1514"/>
    <cellStyle name="Note 6 4 3" xfId="1515"/>
    <cellStyle name="Note 6 4 3 2" xfId="1516"/>
    <cellStyle name="Note 6 4 4" xfId="1517"/>
    <cellStyle name="Note 6 5" xfId="1518"/>
    <cellStyle name="Note 6 5 2" xfId="1519"/>
    <cellStyle name="Note 6 5 2 2" xfId="1520"/>
    <cellStyle name="Note 6 5 3" xfId="1521"/>
    <cellStyle name="Note 6 6" xfId="1522"/>
    <cellStyle name="Note 6 6 2" xfId="1523"/>
    <cellStyle name="Note 6 7" xfId="1524"/>
    <cellStyle name="Note 7" xfId="237"/>
    <cellStyle name="Note 7 2" xfId="238"/>
    <cellStyle name="Note 7 2 2" xfId="1525"/>
    <cellStyle name="Note 7 2 2 2" xfId="1526"/>
    <cellStyle name="Note 7 2 2 2 2" xfId="1527"/>
    <cellStyle name="Note 7 2 2 2 2 2" xfId="1528"/>
    <cellStyle name="Note 7 2 2 2 3" xfId="1529"/>
    <cellStyle name="Note 7 2 2 3" xfId="1530"/>
    <cellStyle name="Note 7 2 2 3 2" xfId="1531"/>
    <cellStyle name="Note 7 2 2 4" xfId="1532"/>
    <cellStyle name="Note 7 2 3" xfId="1533"/>
    <cellStyle name="Note 7 2 3 2" xfId="1534"/>
    <cellStyle name="Note 7 2 3 2 2" xfId="1535"/>
    <cellStyle name="Note 7 2 3 2 2 2" xfId="1536"/>
    <cellStyle name="Note 7 2 3 2 3" xfId="1537"/>
    <cellStyle name="Note 7 2 3 3" xfId="1538"/>
    <cellStyle name="Note 7 2 3 3 2" xfId="1539"/>
    <cellStyle name="Note 7 2 3 4" xfId="1540"/>
    <cellStyle name="Note 7 2 4" xfId="1541"/>
    <cellStyle name="Note 7 2 4 2" xfId="1542"/>
    <cellStyle name="Note 7 2 4 2 2" xfId="1543"/>
    <cellStyle name="Note 7 2 4 3" xfId="1544"/>
    <cellStyle name="Note 7 2 5" xfId="1545"/>
    <cellStyle name="Note 7 2 5 2" xfId="1546"/>
    <cellStyle name="Note 7 2 6" xfId="1547"/>
    <cellStyle name="Note 7 3" xfId="1548"/>
    <cellStyle name="Note 7 3 2" xfId="1549"/>
    <cellStyle name="Note 7 3 2 2" xfId="1550"/>
    <cellStyle name="Note 7 3 2 2 2" xfId="1551"/>
    <cellStyle name="Note 7 3 2 3" xfId="1552"/>
    <cellStyle name="Note 7 3 3" xfId="1553"/>
    <cellStyle name="Note 7 3 3 2" xfId="1554"/>
    <cellStyle name="Note 7 3 4" xfId="1555"/>
    <cellStyle name="Note 7 4" xfId="1556"/>
    <cellStyle name="Note 7 4 2" xfId="1557"/>
    <cellStyle name="Note 7 4 2 2" xfId="1558"/>
    <cellStyle name="Note 7 4 2 2 2" xfId="1559"/>
    <cellStyle name="Note 7 4 2 3" xfId="1560"/>
    <cellStyle name="Note 7 4 3" xfId="1561"/>
    <cellStyle name="Note 7 4 3 2" xfId="1562"/>
    <cellStyle name="Note 7 4 4" xfId="1563"/>
    <cellStyle name="Note 7 5" xfId="1564"/>
    <cellStyle name="Note 7 5 2" xfId="1565"/>
    <cellStyle name="Note 7 5 2 2" xfId="1566"/>
    <cellStyle name="Note 7 5 3" xfId="1567"/>
    <cellStyle name="Note 7 6" xfId="1568"/>
    <cellStyle name="Note 7 6 2" xfId="1569"/>
    <cellStyle name="Note 7 7" xfId="1570"/>
    <cellStyle name="Note 8" xfId="239"/>
    <cellStyle name="Note 8 2" xfId="240"/>
    <cellStyle name="Note 8 2 2" xfId="1571"/>
    <cellStyle name="Note 8 2 2 2" xfId="1572"/>
    <cellStyle name="Note 8 2 2 2 2" xfId="1573"/>
    <cellStyle name="Note 8 2 2 2 2 2" xfId="1574"/>
    <cellStyle name="Note 8 2 2 2 3" xfId="1575"/>
    <cellStyle name="Note 8 2 2 3" xfId="1576"/>
    <cellStyle name="Note 8 2 2 3 2" xfId="1577"/>
    <cellStyle name="Note 8 2 2 4" xfId="1578"/>
    <cellStyle name="Note 8 2 3" xfId="1579"/>
    <cellStyle name="Note 8 2 3 2" xfId="1580"/>
    <cellStyle name="Note 8 2 3 2 2" xfId="1581"/>
    <cellStyle name="Note 8 2 3 2 2 2" xfId="1582"/>
    <cellStyle name="Note 8 2 3 2 3" xfId="1583"/>
    <cellStyle name="Note 8 2 3 3" xfId="1584"/>
    <cellStyle name="Note 8 2 3 3 2" xfId="1585"/>
    <cellStyle name="Note 8 2 3 4" xfId="1586"/>
    <cellStyle name="Note 8 2 4" xfId="1587"/>
    <cellStyle name="Note 8 2 4 2" xfId="1588"/>
    <cellStyle name="Note 8 2 4 2 2" xfId="1589"/>
    <cellStyle name="Note 8 2 4 3" xfId="1590"/>
    <cellStyle name="Note 8 2 5" xfId="1591"/>
    <cellStyle name="Note 8 2 5 2" xfId="1592"/>
    <cellStyle name="Note 8 2 6" xfId="1593"/>
    <cellStyle name="Note 8 3" xfId="1594"/>
    <cellStyle name="Note 8 3 2" xfId="1595"/>
    <cellStyle name="Note 8 3 2 2" xfId="1596"/>
    <cellStyle name="Note 8 3 2 2 2" xfId="1597"/>
    <cellStyle name="Note 8 3 2 3" xfId="1598"/>
    <cellStyle name="Note 8 3 3" xfId="1599"/>
    <cellStyle name="Note 8 3 3 2" xfId="1600"/>
    <cellStyle name="Note 8 3 4" xfId="1601"/>
    <cellStyle name="Note 8 4" xfId="1602"/>
    <cellStyle name="Note 8 4 2" xfId="1603"/>
    <cellStyle name="Note 8 4 2 2" xfId="1604"/>
    <cellStyle name="Note 8 4 2 2 2" xfId="1605"/>
    <cellStyle name="Note 8 4 2 3" xfId="1606"/>
    <cellStyle name="Note 8 4 3" xfId="1607"/>
    <cellStyle name="Note 8 4 3 2" xfId="1608"/>
    <cellStyle name="Note 8 4 4" xfId="1609"/>
    <cellStyle name="Note 8 5" xfId="1610"/>
    <cellStyle name="Note 8 5 2" xfId="1611"/>
    <cellStyle name="Note 8 5 2 2" xfId="1612"/>
    <cellStyle name="Note 8 5 3" xfId="1613"/>
    <cellStyle name="Note 8 6" xfId="1614"/>
    <cellStyle name="Note 8 6 2" xfId="1615"/>
    <cellStyle name="Note 8 7" xfId="1616"/>
    <cellStyle name="Note 9" xfId="241"/>
    <cellStyle name="Note 9 2" xfId="1617"/>
    <cellStyle name="Note 9 2 2" xfId="1618"/>
    <cellStyle name="Note 9 2 2 2" xfId="1619"/>
    <cellStyle name="Note 9 2 2 2 2" xfId="1620"/>
    <cellStyle name="Note 9 2 2 3" xfId="1621"/>
    <cellStyle name="Note 9 2 3" xfId="1622"/>
    <cellStyle name="Note 9 2 3 2" xfId="1623"/>
    <cellStyle name="Note 9 2 4" xfId="1624"/>
    <cellStyle name="Note 9 3" xfId="1625"/>
    <cellStyle name="Note 9 3 2" xfId="1626"/>
    <cellStyle name="Note 9 3 2 2" xfId="1627"/>
    <cellStyle name="Note 9 3 2 2 2" xfId="1628"/>
    <cellStyle name="Note 9 3 2 3" xfId="1629"/>
    <cellStyle name="Note 9 3 3" xfId="1630"/>
    <cellStyle name="Note 9 3 3 2" xfId="1631"/>
    <cellStyle name="Note 9 3 4" xfId="1632"/>
    <cellStyle name="Note 9 4" xfId="1633"/>
    <cellStyle name="Note 9 4 2" xfId="1634"/>
    <cellStyle name="Note 9 4 2 2" xfId="1635"/>
    <cellStyle name="Note 9 4 3" xfId="1636"/>
    <cellStyle name="Note 9 5" xfId="1637"/>
    <cellStyle name="Note 9 5 2" xfId="1638"/>
    <cellStyle name="Note 9 6" xfId="1639"/>
    <cellStyle name="Output" xfId="95" builtinId="21" customBuiltin="1"/>
    <cellStyle name="Output 2" xfId="242"/>
    <cellStyle name="Output 2 2" xfId="243"/>
    <cellStyle name="Output 2 2 2" xfId="1640"/>
    <cellStyle name="Output 2 2 2 2" xfId="1641"/>
    <cellStyle name="Output 2 2 2 2 2" xfId="1642"/>
    <cellStyle name="Output 2 2 2 2 2 2" xfId="1643"/>
    <cellStyle name="Output 2 2 2 2 3" xfId="1644"/>
    <cellStyle name="Output 2 2 2 3" xfId="1645"/>
    <cellStyle name="Output 2 2 2 3 2" xfId="1646"/>
    <cellStyle name="Output 2 2 2 4" xfId="1647"/>
    <cellStyle name="Output 2 2 3" xfId="1648"/>
    <cellStyle name="Output 2 2 3 2" xfId="1649"/>
    <cellStyle name="Output 2 2 3 2 2" xfId="1650"/>
    <cellStyle name="Output 2 2 3 2 2 2" xfId="1651"/>
    <cellStyle name="Output 2 2 3 2 3" xfId="1652"/>
    <cellStyle name="Output 2 2 3 3" xfId="1653"/>
    <cellStyle name="Output 2 2 3 3 2" xfId="1654"/>
    <cellStyle name="Output 2 2 3 4" xfId="1655"/>
    <cellStyle name="Output 2 2 4" xfId="1656"/>
    <cellStyle name="Output 2 2 4 2" xfId="1657"/>
    <cellStyle name="Output 2 2 4 2 2" xfId="1658"/>
    <cellStyle name="Output 2 2 4 3" xfId="1659"/>
    <cellStyle name="Output 2 2 5" xfId="1660"/>
    <cellStyle name="Output 2 2 5 2" xfId="1661"/>
    <cellStyle name="Output 2 2 6" xfId="1662"/>
    <cellStyle name="Output 2 3" xfId="337"/>
    <cellStyle name="Output 2 3 2" xfId="1663"/>
    <cellStyle name="Output 2 3 2 2" xfId="1664"/>
    <cellStyle name="Output 2 3 2 2 2" xfId="1665"/>
    <cellStyle name="Output 2 3 2 3" xfId="1666"/>
    <cellStyle name="Output 2 3 3" xfId="1667"/>
    <cellStyle name="Output 2 3 3 2" xfId="1668"/>
    <cellStyle name="Output 2 3 4" xfId="1669"/>
    <cellStyle name="Output 2 4" xfId="1670"/>
    <cellStyle name="Output 2 4 2" xfId="1671"/>
    <cellStyle name="Output 2 4 2 2" xfId="1672"/>
    <cellStyle name="Output 2 4 2 2 2" xfId="1673"/>
    <cellStyle name="Output 2 4 2 3" xfId="1674"/>
    <cellStyle name="Output 2 4 3" xfId="1675"/>
    <cellStyle name="Output 2 4 3 2" xfId="1676"/>
    <cellStyle name="Output 2 4 4" xfId="1677"/>
    <cellStyle name="Output 2 5" xfId="1678"/>
    <cellStyle name="Output 2 5 2" xfId="1679"/>
    <cellStyle name="Output 2 5 2 2" xfId="1680"/>
    <cellStyle name="Output 2 5 3" xfId="1681"/>
    <cellStyle name="Output 2 6" xfId="1682"/>
    <cellStyle name="Output 2 6 2" xfId="1683"/>
    <cellStyle name="Output 2 7" xfId="1684"/>
    <cellStyle name="Output 3" xfId="244"/>
    <cellStyle name="Output 3 2" xfId="245"/>
    <cellStyle name="Output 3 2 2" xfId="1685"/>
    <cellStyle name="Output 3 2 2 2" xfId="1686"/>
    <cellStyle name="Output 3 2 2 2 2" xfId="1687"/>
    <cellStyle name="Output 3 2 2 2 2 2" xfId="1688"/>
    <cellStyle name="Output 3 2 2 2 3" xfId="1689"/>
    <cellStyle name="Output 3 2 2 3" xfId="1690"/>
    <cellStyle name="Output 3 2 2 3 2" xfId="1691"/>
    <cellStyle name="Output 3 2 2 4" xfId="1692"/>
    <cellStyle name="Output 3 2 3" xfId="1693"/>
    <cellStyle name="Output 3 2 3 2" xfId="1694"/>
    <cellStyle name="Output 3 2 3 2 2" xfId="1695"/>
    <cellStyle name="Output 3 2 3 2 2 2" xfId="1696"/>
    <cellStyle name="Output 3 2 3 2 3" xfId="1697"/>
    <cellStyle name="Output 3 2 3 3" xfId="1698"/>
    <cellStyle name="Output 3 2 3 3 2" xfId="1699"/>
    <cellStyle name="Output 3 2 3 4" xfId="1700"/>
    <cellStyle name="Output 3 2 4" xfId="1701"/>
    <cellStyle name="Output 3 2 4 2" xfId="1702"/>
    <cellStyle name="Output 3 2 4 2 2" xfId="1703"/>
    <cellStyle name="Output 3 2 4 3" xfId="1704"/>
    <cellStyle name="Output 3 2 5" xfId="1705"/>
    <cellStyle name="Output 3 2 5 2" xfId="1706"/>
    <cellStyle name="Output 3 2 6" xfId="1707"/>
    <cellStyle name="Output 3 3" xfId="1708"/>
    <cellStyle name="Output 3 3 2" xfId="1709"/>
    <cellStyle name="Output 3 3 2 2" xfId="1710"/>
    <cellStyle name="Output 3 3 2 2 2" xfId="1711"/>
    <cellStyle name="Output 3 3 2 3" xfId="1712"/>
    <cellStyle name="Output 3 3 3" xfId="1713"/>
    <cellStyle name="Output 3 3 3 2" xfId="1714"/>
    <cellStyle name="Output 3 3 4" xfId="1715"/>
    <cellStyle name="Output 3 4" xfId="1716"/>
    <cellStyle name="Output 3 4 2" xfId="1717"/>
    <cellStyle name="Output 3 4 2 2" xfId="1718"/>
    <cellStyle name="Output 3 4 2 2 2" xfId="1719"/>
    <cellStyle name="Output 3 4 2 3" xfId="1720"/>
    <cellStyle name="Output 3 4 3" xfId="1721"/>
    <cellStyle name="Output 3 4 3 2" xfId="1722"/>
    <cellStyle name="Output 3 4 4" xfId="1723"/>
    <cellStyle name="Output 3 5" xfId="1724"/>
    <cellStyle name="Output 3 5 2" xfId="1725"/>
    <cellStyle name="Output 3 5 2 2" xfId="1726"/>
    <cellStyle name="Output 3 5 3" xfId="1727"/>
    <cellStyle name="Output 3 6" xfId="1728"/>
    <cellStyle name="Output 3 6 2" xfId="1729"/>
    <cellStyle name="Output 3 7" xfId="1730"/>
    <cellStyle name="Output 4" xfId="246"/>
    <cellStyle name="Output 4 2" xfId="247"/>
    <cellStyle name="Output 4 2 2" xfId="1731"/>
    <cellStyle name="Output 4 2 2 2" xfId="1732"/>
    <cellStyle name="Output 4 2 2 2 2" xfId="1733"/>
    <cellStyle name="Output 4 2 2 2 2 2" xfId="1734"/>
    <cellStyle name="Output 4 2 2 2 3" xfId="1735"/>
    <cellStyle name="Output 4 2 2 3" xfId="1736"/>
    <cellStyle name="Output 4 2 2 3 2" xfId="1737"/>
    <cellStyle name="Output 4 2 2 4" xfId="1738"/>
    <cellStyle name="Output 4 2 3" xfId="1739"/>
    <cellStyle name="Output 4 2 3 2" xfId="1740"/>
    <cellStyle name="Output 4 2 3 2 2" xfId="1741"/>
    <cellStyle name="Output 4 2 3 2 2 2" xfId="1742"/>
    <cellStyle name="Output 4 2 3 2 3" xfId="1743"/>
    <cellStyle name="Output 4 2 3 3" xfId="1744"/>
    <cellStyle name="Output 4 2 3 3 2" xfId="1745"/>
    <cellStyle name="Output 4 2 3 4" xfId="1746"/>
    <cellStyle name="Output 4 2 4" xfId="1747"/>
    <cellStyle name="Output 4 2 4 2" xfId="1748"/>
    <cellStyle name="Output 4 2 4 2 2" xfId="1749"/>
    <cellStyle name="Output 4 2 4 3" xfId="1750"/>
    <cellStyle name="Output 4 2 5" xfId="1751"/>
    <cellStyle name="Output 4 2 5 2" xfId="1752"/>
    <cellStyle name="Output 4 2 6" xfId="1753"/>
    <cellStyle name="Output 4 3" xfId="1754"/>
    <cellStyle name="Output 4 3 2" xfId="1755"/>
    <cellStyle name="Output 4 3 2 2" xfId="1756"/>
    <cellStyle name="Output 4 3 2 2 2" xfId="1757"/>
    <cellStyle name="Output 4 3 2 3" xfId="1758"/>
    <cellStyle name="Output 4 3 3" xfId="1759"/>
    <cellStyle name="Output 4 3 3 2" xfId="1760"/>
    <cellStyle name="Output 4 3 4" xfId="1761"/>
    <cellStyle name="Output 4 4" xfId="1762"/>
    <cellStyle name="Output 4 4 2" xfId="1763"/>
    <cellStyle name="Output 4 4 2 2" xfId="1764"/>
    <cellStyle name="Output 4 4 2 2 2" xfId="1765"/>
    <cellStyle name="Output 4 4 2 3" xfId="1766"/>
    <cellStyle name="Output 4 4 3" xfId="1767"/>
    <cellStyle name="Output 4 4 3 2" xfId="1768"/>
    <cellStyle name="Output 4 4 4" xfId="1769"/>
    <cellStyle name="Output 4 5" xfId="1770"/>
    <cellStyle name="Output 4 5 2" xfId="1771"/>
    <cellStyle name="Output 4 5 2 2" xfId="1772"/>
    <cellStyle name="Output 4 5 3" xfId="1773"/>
    <cellStyle name="Output 4 6" xfId="1774"/>
    <cellStyle name="Output 4 6 2" xfId="1775"/>
    <cellStyle name="Output 4 7" xfId="1776"/>
    <cellStyle name="Output 5" xfId="248"/>
    <cellStyle name="Output 5 2" xfId="249"/>
    <cellStyle name="Output 5 2 2" xfId="1777"/>
    <cellStyle name="Output 5 2 2 2" xfId="1778"/>
    <cellStyle name="Output 5 2 2 2 2" xfId="1779"/>
    <cellStyle name="Output 5 2 2 2 2 2" xfId="1780"/>
    <cellStyle name="Output 5 2 2 2 3" xfId="1781"/>
    <cellStyle name="Output 5 2 2 3" xfId="1782"/>
    <cellStyle name="Output 5 2 2 3 2" xfId="1783"/>
    <cellStyle name="Output 5 2 2 4" xfId="1784"/>
    <cellStyle name="Output 5 2 3" xfId="1785"/>
    <cellStyle name="Output 5 2 3 2" xfId="1786"/>
    <cellStyle name="Output 5 2 3 2 2" xfId="1787"/>
    <cellStyle name="Output 5 2 3 2 2 2" xfId="1788"/>
    <cellStyle name="Output 5 2 3 2 3" xfId="1789"/>
    <cellStyle name="Output 5 2 3 3" xfId="1790"/>
    <cellStyle name="Output 5 2 3 3 2" xfId="1791"/>
    <cellStyle name="Output 5 2 3 4" xfId="1792"/>
    <cellStyle name="Output 5 2 4" xfId="1793"/>
    <cellStyle name="Output 5 2 4 2" xfId="1794"/>
    <cellStyle name="Output 5 2 4 2 2" xfId="1795"/>
    <cellStyle name="Output 5 2 4 3" xfId="1796"/>
    <cellStyle name="Output 5 2 5" xfId="1797"/>
    <cellStyle name="Output 5 2 5 2" xfId="1798"/>
    <cellStyle name="Output 5 2 6" xfId="1799"/>
    <cellStyle name="Output 5 3" xfId="1800"/>
    <cellStyle name="Output 5 3 2" xfId="1801"/>
    <cellStyle name="Output 5 3 2 2" xfId="1802"/>
    <cellStyle name="Output 5 3 2 2 2" xfId="1803"/>
    <cellStyle name="Output 5 3 2 3" xfId="1804"/>
    <cellStyle name="Output 5 3 3" xfId="1805"/>
    <cellStyle name="Output 5 3 3 2" xfId="1806"/>
    <cellStyle name="Output 5 3 4" xfId="1807"/>
    <cellStyle name="Output 5 4" xfId="1808"/>
    <cellStyle name="Output 5 4 2" xfId="1809"/>
    <cellStyle name="Output 5 4 2 2" xfId="1810"/>
    <cellStyle name="Output 5 4 2 2 2" xfId="1811"/>
    <cellStyle name="Output 5 4 2 3" xfId="1812"/>
    <cellStyle name="Output 5 4 3" xfId="1813"/>
    <cellStyle name="Output 5 4 3 2" xfId="1814"/>
    <cellStyle name="Output 5 4 4" xfId="1815"/>
    <cellStyle name="Output 5 5" xfId="1816"/>
    <cellStyle name="Output 5 5 2" xfId="1817"/>
    <cellStyle name="Output 5 5 2 2" xfId="1818"/>
    <cellStyle name="Output 5 5 3" xfId="1819"/>
    <cellStyle name="Output 5 6" xfId="1820"/>
    <cellStyle name="Output 5 6 2" xfId="1821"/>
    <cellStyle name="Output 5 7" xfId="1822"/>
    <cellStyle name="Output 6" xfId="250"/>
    <cellStyle name="Output 6 2" xfId="251"/>
    <cellStyle name="Output 6 2 2" xfId="1823"/>
    <cellStyle name="Output 6 2 2 2" xfId="1824"/>
    <cellStyle name="Output 6 2 2 2 2" xfId="1825"/>
    <cellStyle name="Output 6 2 2 2 2 2" xfId="1826"/>
    <cellStyle name="Output 6 2 2 2 3" xfId="1827"/>
    <cellStyle name="Output 6 2 2 3" xfId="1828"/>
    <cellStyle name="Output 6 2 2 3 2" xfId="1829"/>
    <cellStyle name="Output 6 2 2 4" xfId="1830"/>
    <cellStyle name="Output 6 2 3" xfId="1831"/>
    <cellStyle name="Output 6 2 3 2" xfId="1832"/>
    <cellStyle name="Output 6 2 3 2 2" xfId="1833"/>
    <cellStyle name="Output 6 2 3 2 2 2" xfId="1834"/>
    <cellStyle name="Output 6 2 3 2 3" xfId="1835"/>
    <cellStyle name="Output 6 2 3 3" xfId="1836"/>
    <cellStyle name="Output 6 2 3 3 2" xfId="1837"/>
    <cellStyle name="Output 6 2 3 4" xfId="1838"/>
    <cellStyle name="Output 6 2 4" xfId="1839"/>
    <cellStyle name="Output 6 2 4 2" xfId="1840"/>
    <cellStyle name="Output 6 2 4 2 2" xfId="1841"/>
    <cellStyle name="Output 6 2 4 3" xfId="1842"/>
    <cellStyle name="Output 6 2 5" xfId="1843"/>
    <cellStyle name="Output 6 2 5 2" xfId="1844"/>
    <cellStyle name="Output 6 2 6" xfId="1845"/>
    <cellStyle name="Output 6 3" xfId="1846"/>
    <cellStyle name="Output 6 3 2" xfId="1847"/>
    <cellStyle name="Output 6 3 2 2" xfId="1848"/>
    <cellStyle name="Output 6 3 2 2 2" xfId="1849"/>
    <cellStyle name="Output 6 3 2 3" xfId="1850"/>
    <cellStyle name="Output 6 3 3" xfId="1851"/>
    <cellStyle name="Output 6 3 3 2" xfId="1852"/>
    <cellStyle name="Output 6 3 4" xfId="1853"/>
    <cellStyle name="Output 6 4" xfId="1854"/>
    <cellStyle name="Output 6 4 2" xfId="1855"/>
    <cellStyle name="Output 6 4 2 2" xfId="1856"/>
    <cellStyle name="Output 6 4 2 2 2" xfId="1857"/>
    <cellStyle name="Output 6 4 2 3" xfId="1858"/>
    <cellStyle name="Output 6 4 3" xfId="1859"/>
    <cellStyle name="Output 6 4 3 2" xfId="1860"/>
    <cellStyle name="Output 6 4 4" xfId="1861"/>
    <cellStyle name="Output 6 5" xfId="1862"/>
    <cellStyle name="Output 6 5 2" xfId="1863"/>
    <cellStyle name="Output 6 5 2 2" xfId="1864"/>
    <cellStyle name="Output 6 5 3" xfId="1865"/>
    <cellStyle name="Output 6 6" xfId="1866"/>
    <cellStyle name="Output 6 6 2" xfId="1867"/>
    <cellStyle name="Output 6 7" xfId="1868"/>
    <cellStyle name="Output 7" xfId="252"/>
    <cellStyle name="Output 7 2" xfId="253"/>
    <cellStyle name="Output 7 2 2" xfId="1869"/>
    <cellStyle name="Output 7 2 2 2" xfId="1870"/>
    <cellStyle name="Output 7 2 2 2 2" xfId="1871"/>
    <cellStyle name="Output 7 2 2 2 2 2" xfId="1872"/>
    <cellStyle name="Output 7 2 2 2 3" xfId="1873"/>
    <cellStyle name="Output 7 2 2 3" xfId="1874"/>
    <cellStyle name="Output 7 2 2 3 2" xfId="1875"/>
    <cellStyle name="Output 7 2 2 4" xfId="1876"/>
    <cellStyle name="Output 7 2 3" xfId="1877"/>
    <cellStyle name="Output 7 2 3 2" xfId="1878"/>
    <cellStyle name="Output 7 2 3 2 2" xfId="1879"/>
    <cellStyle name="Output 7 2 3 2 2 2" xfId="1880"/>
    <cellStyle name="Output 7 2 3 2 3" xfId="1881"/>
    <cellStyle name="Output 7 2 3 3" xfId="1882"/>
    <cellStyle name="Output 7 2 3 3 2" xfId="1883"/>
    <cellStyle name="Output 7 2 3 4" xfId="1884"/>
    <cellStyle name="Output 7 2 4" xfId="1885"/>
    <cellStyle name="Output 7 2 4 2" xfId="1886"/>
    <cellStyle name="Output 7 2 4 2 2" xfId="1887"/>
    <cellStyle name="Output 7 2 4 3" xfId="1888"/>
    <cellStyle name="Output 7 2 5" xfId="1889"/>
    <cellStyle name="Output 7 2 5 2" xfId="1890"/>
    <cellStyle name="Output 7 2 6" xfId="1891"/>
    <cellStyle name="Output 7 3" xfId="1892"/>
    <cellStyle name="Output 7 3 2" xfId="1893"/>
    <cellStyle name="Output 7 3 2 2" xfId="1894"/>
    <cellStyle name="Output 7 3 2 2 2" xfId="1895"/>
    <cellStyle name="Output 7 3 2 3" xfId="1896"/>
    <cellStyle name="Output 7 3 3" xfId="1897"/>
    <cellStyle name="Output 7 3 3 2" xfId="1898"/>
    <cellStyle name="Output 7 3 4" xfId="1899"/>
    <cellStyle name="Output 7 4" xfId="1900"/>
    <cellStyle name="Output 7 4 2" xfId="1901"/>
    <cellStyle name="Output 7 4 2 2" xfId="1902"/>
    <cellStyle name="Output 7 4 2 2 2" xfId="1903"/>
    <cellStyle name="Output 7 4 2 3" xfId="1904"/>
    <cellStyle name="Output 7 4 3" xfId="1905"/>
    <cellStyle name="Output 7 4 3 2" xfId="1906"/>
    <cellStyle name="Output 7 4 4" xfId="1907"/>
    <cellStyle name="Output 7 5" xfId="1908"/>
    <cellStyle name="Output 7 5 2" xfId="1909"/>
    <cellStyle name="Output 7 5 2 2" xfId="1910"/>
    <cellStyle name="Output 7 5 3" xfId="1911"/>
    <cellStyle name="Output 7 6" xfId="1912"/>
    <cellStyle name="Output 7 6 2" xfId="1913"/>
    <cellStyle name="Output 7 7" xfId="1914"/>
    <cellStyle name="Output 8" xfId="254"/>
    <cellStyle name="Output 8 2" xfId="1915"/>
    <cellStyle name="Output 8 2 2" xfId="1916"/>
    <cellStyle name="Output 8 2 2 2" xfId="1917"/>
    <cellStyle name="Output 8 2 2 2 2" xfId="1918"/>
    <cellStyle name="Output 8 2 2 3" xfId="1919"/>
    <cellStyle name="Output 8 2 3" xfId="1920"/>
    <cellStyle name="Output 8 2 3 2" xfId="1921"/>
    <cellStyle name="Output 8 2 4" xfId="1922"/>
    <cellStyle name="Output 8 3" xfId="1923"/>
    <cellStyle name="Output 8 3 2" xfId="1924"/>
    <cellStyle name="Output 8 3 2 2" xfId="1925"/>
    <cellStyle name="Output 8 3 2 2 2" xfId="1926"/>
    <cellStyle name="Output 8 3 2 3" xfId="1927"/>
    <cellStyle name="Output 8 3 3" xfId="1928"/>
    <cellStyle name="Output 8 3 3 2" xfId="1929"/>
    <cellStyle name="Output 8 3 4" xfId="1930"/>
    <cellStyle name="Output 8 4" xfId="1931"/>
    <cellStyle name="Output 8 4 2" xfId="1932"/>
    <cellStyle name="Output 8 4 2 2" xfId="1933"/>
    <cellStyle name="Output 8 4 3" xfId="1934"/>
    <cellStyle name="Output 8 5" xfId="1935"/>
    <cellStyle name="Output 8 5 2" xfId="1936"/>
    <cellStyle name="Output 8 6" xfId="1937"/>
    <cellStyle name="Output 9" xfId="1938"/>
    <cellStyle name="Output 9 2" xfId="1939"/>
    <cellStyle name="Output 9 2 2" xfId="1940"/>
    <cellStyle name="Output 9 2 2 2" xfId="1941"/>
    <cellStyle name="Output 9 2 3" xfId="1942"/>
    <cellStyle name="Output 9 3" xfId="1943"/>
    <cellStyle name="Output 9 3 2" xfId="1944"/>
    <cellStyle name="Output 9 4" xfId="1945"/>
    <cellStyle name="Percent" xfId="96" builtinId="5"/>
    <cellStyle name="Percent 2" xfId="97"/>
    <cellStyle name="Percent 2 2" xfId="98"/>
    <cellStyle name="Percent 2 2 2" xfId="255"/>
    <cellStyle name="Percent 2 2 3" xfId="256"/>
    <cellStyle name="Percent 2 2 4" xfId="257"/>
    <cellStyle name="Percent 2 2 5" xfId="258"/>
    <cellStyle name="Percent 2 2 6" xfId="259"/>
    <cellStyle name="Percent 2 2 7" xfId="260"/>
    <cellStyle name="Percent 2 2 8" xfId="261"/>
    <cellStyle name="Percent 2 3" xfId="262"/>
    <cellStyle name="Percent 2 3 2" xfId="338"/>
    <cellStyle name="Percent 2 3 3" xfId="339"/>
    <cellStyle name="Percent 2 4" xfId="263"/>
    <cellStyle name="Percent 2 5" xfId="264"/>
    <cellStyle name="Percent 2 6" xfId="265"/>
    <cellStyle name="Percent 2 7" xfId="266"/>
    <cellStyle name="Percent 2 8" xfId="340"/>
    <cellStyle name="Percent 2_1.6.Wine_&amp;_Ja" xfId="99"/>
    <cellStyle name="Percent 3" xfId="1946"/>
    <cellStyle name="Title" xfId="100" builtinId="15" customBuiltin="1"/>
    <cellStyle name="Title 2" xfId="1947"/>
    <cellStyle name="Total" xfId="101" builtinId="25" customBuiltin="1"/>
    <cellStyle name="Total 2" xfId="267"/>
    <cellStyle name="Total 2 2" xfId="268"/>
    <cellStyle name="Total 2 2 2" xfId="1948"/>
    <cellStyle name="Total 2 2 2 2" xfId="1949"/>
    <cellStyle name="Total 2 2 2 2 2" xfId="1950"/>
    <cellStyle name="Total 2 2 2 2 2 2" xfId="1951"/>
    <cellStyle name="Total 2 2 2 2 3" xfId="1952"/>
    <cellStyle name="Total 2 2 2 3" xfId="1953"/>
    <cellStyle name="Total 2 2 2 3 2" xfId="1954"/>
    <cellStyle name="Total 2 2 2 4" xfId="1955"/>
    <cellStyle name="Total 2 2 3" xfId="1956"/>
    <cellStyle name="Total 2 2 3 2" xfId="1957"/>
    <cellStyle name="Total 2 2 3 2 2" xfId="1958"/>
    <cellStyle name="Total 2 2 3 2 2 2" xfId="1959"/>
    <cellStyle name="Total 2 2 3 2 3" xfId="1960"/>
    <cellStyle name="Total 2 2 3 3" xfId="1961"/>
    <cellStyle name="Total 2 2 3 3 2" xfId="1962"/>
    <cellStyle name="Total 2 2 3 4" xfId="1963"/>
    <cellStyle name="Total 2 2 4" xfId="1964"/>
    <cellStyle name="Total 2 2 4 2" xfId="1965"/>
    <cellStyle name="Total 2 2 4 2 2" xfId="1966"/>
    <cellStyle name="Total 2 2 4 3" xfId="1967"/>
    <cellStyle name="Total 2 2 5" xfId="1968"/>
    <cellStyle name="Total 2 2 5 2" xfId="1969"/>
    <cellStyle name="Total 2 2 6" xfId="1970"/>
    <cellStyle name="Total 2 3" xfId="341"/>
    <cellStyle name="Total 2 3 2" xfId="1971"/>
    <cellStyle name="Total 2 3 2 2" xfId="1972"/>
    <cellStyle name="Total 2 3 2 2 2" xfId="1973"/>
    <cellStyle name="Total 2 3 2 3" xfId="1974"/>
    <cellStyle name="Total 2 3 3" xfId="1975"/>
    <cellStyle name="Total 2 3 3 2" xfId="1976"/>
    <cellStyle name="Total 2 3 4" xfId="1977"/>
    <cellStyle name="Total 2 4" xfId="1978"/>
    <cellStyle name="Total 2 4 2" xfId="1979"/>
    <cellStyle name="Total 2 4 2 2" xfId="1980"/>
    <cellStyle name="Total 2 4 2 2 2" xfId="1981"/>
    <cellStyle name="Total 2 4 2 3" xfId="1982"/>
    <cellStyle name="Total 2 4 3" xfId="1983"/>
    <cellStyle name="Total 2 4 3 2" xfId="1984"/>
    <cellStyle name="Total 2 4 4" xfId="1985"/>
    <cellStyle name="Total 2 5" xfId="1986"/>
    <cellStyle name="Total 2 5 2" xfId="1987"/>
    <cellStyle name="Total 2 5 2 2" xfId="1988"/>
    <cellStyle name="Total 2 5 3" xfId="1989"/>
    <cellStyle name="Total 2 6" xfId="1990"/>
    <cellStyle name="Total 2 6 2" xfId="1991"/>
    <cellStyle name="Total 2 7" xfId="1992"/>
    <cellStyle name="Total 3" xfId="269"/>
    <cellStyle name="Total 3 2" xfId="270"/>
    <cellStyle name="Total 3 2 2" xfId="1993"/>
    <cellStyle name="Total 3 2 2 2" xfId="1994"/>
    <cellStyle name="Total 3 2 2 2 2" xfId="1995"/>
    <cellStyle name="Total 3 2 2 2 2 2" xfId="1996"/>
    <cellStyle name="Total 3 2 2 2 3" xfId="1997"/>
    <cellStyle name="Total 3 2 2 3" xfId="1998"/>
    <cellStyle name="Total 3 2 2 3 2" xfId="1999"/>
    <cellStyle name="Total 3 2 2 4" xfId="2000"/>
    <cellStyle name="Total 3 2 3" xfId="2001"/>
    <cellStyle name="Total 3 2 3 2" xfId="2002"/>
    <cellStyle name="Total 3 2 3 2 2" xfId="2003"/>
    <cellStyle name="Total 3 2 3 2 2 2" xfId="2004"/>
    <cellStyle name="Total 3 2 3 2 3" xfId="2005"/>
    <cellStyle name="Total 3 2 3 3" xfId="2006"/>
    <cellStyle name="Total 3 2 3 3 2" xfId="2007"/>
    <cellStyle name="Total 3 2 3 4" xfId="2008"/>
    <cellStyle name="Total 3 2 4" xfId="2009"/>
    <cellStyle name="Total 3 2 4 2" xfId="2010"/>
    <cellStyle name="Total 3 2 4 2 2" xfId="2011"/>
    <cellStyle name="Total 3 2 4 3" xfId="2012"/>
    <cellStyle name="Total 3 2 5" xfId="2013"/>
    <cellStyle name="Total 3 2 5 2" xfId="2014"/>
    <cellStyle name="Total 3 2 6" xfId="2015"/>
    <cellStyle name="Total 3 3" xfId="2016"/>
    <cellStyle name="Total 3 3 2" xfId="2017"/>
    <cellStyle name="Total 3 3 2 2" xfId="2018"/>
    <cellStyle name="Total 3 3 2 2 2" xfId="2019"/>
    <cellStyle name="Total 3 3 2 3" xfId="2020"/>
    <cellStyle name="Total 3 3 3" xfId="2021"/>
    <cellStyle name="Total 3 3 3 2" xfId="2022"/>
    <cellStyle name="Total 3 3 4" xfId="2023"/>
    <cellStyle name="Total 3 4" xfId="2024"/>
    <cellStyle name="Total 3 4 2" xfId="2025"/>
    <cellStyle name="Total 3 4 2 2" xfId="2026"/>
    <cellStyle name="Total 3 4 2 2 2" xfId="2027"/>
    <cellStyle name="Total 3 4 2 3" xfId="2028"/>
    <cellStyle name="Total 3 4 3" xfId="2029"/>
    <cellStyle name="Total 3 4 3 2" xfId="2030"/>
    <cellStyle name="Total 3 4 4" xfId="2031"/>
    <cellStyle name="Total 3 5" xfId="2032"/>
    <cellStyle name="Total 3 5 2" xfId="2033"/>
    <cellStyle name="Total 3 5 2 2" xfId="2034"/>
    <cellStyle name="Total 3 5 3" xfId="2035"/>
    <cellStyle name="Total 3 6" xfId="2036"/>
    <cellStyle name="Total 3 6 2" xfId="2037"/>
    <cellStyle name="Total 3 7" xfId="2038"/>
    <cellStyle name="Total 4" xfId="271"/>
    <cellStyle name="Total 4 2" xfId="272"/>
    <cellStyle name="Total 4 2 2" xfId="2039"/>
    <cellStyle name="Total 4 2 2 2" xfId="2040"/>
    <cellStyle name="Total 4 2 2 2 2" xfId="2041"/>
    <cellStyle name="Total 4 2 2 2 2 2" xfId="2042"/>
    <cellStyle name="Total 4 2 2 2 3" xfId="2043"/>
    <cellStyle name="Total 4 2 2 3" xfId="2044"/>
    <cellStyle name="Total 4 2 2 3 2" xfId="2045"/>
    <cellStyle name="Total 4 2 2 4" xfId="2046"/>
    <cellStyle name="Total 4 2 3" xfId="2047"/>
    <cellStyle name="Total 4 2 3 2" xfId="2048"/>
    <cellStyle name="Total 4 2 3 2 2" xfId="2049"/>
    <cellStyle name="Total 4 2 3 2 2 2" xfId="2050"/>
    <cellStyle name="Total 4 2 3 2 3" xfId="2051"/>
    <cellStyle name="Total 4 2 3 3" xfId="2052"/>
    <cellStyle name="Total 4 2 3 3 2" xfId="2053"/>
    <cellStyle name="Total 4 2 3 4" xfId="2054"/>
    <cellStyle name="Total 4 2 4" xfId="2055"/>
    <cellStyle name="Total 4 2 4 2" xfId="2056"/>
    <cellStyle name="Total 4 2 4 2 2" xfId="2057"/>
    <cellStyle name="Total 4 2 4 3" xfId="2058"/>
    <cellStyle name="Total 4 2 5" xfId="2059"/>
    <cellStyle name="Total 4 2 5 2" xfId="2060"/>
    <cellStyle name="Total 4 2 6" xfId="2061"/>
    <cellStyle name="Total 4 3" xfId="2062"/>
    <cellStyle name="Total 4 3 2" xfId="2063"/>
    <cellStyle name="Total 4 3 2 2" xfId="2064"/>
    <cellStyle name="Total 4 3 2 2 2" xfId="2065"/>
    <cellStyle name="Total 4 3 2 3" xfId="2066"/>
    <cellStyle name="Total 4 3 3" xfId="2067"/>
    <cellStyle name="Total 4 3 3 2" xfId="2068"/>
    <cellStyle name="Total 4 3 4" xfId="2069"/>
    <cellStyle name="Total 4 4" xfId="2070"/>
    <cellStyle name="Total 4 4 2" xfId="2071"/>
    <cellStyle name="Total 4 4 2 2" xfId="2072"/>
    <cellStyle name="Total 4 4 2 2 2" xfId="2073"/>
    <cellStyle name="Total 4 4 2 3" xfId="2074"/>
    <cellStyle name="Total 4 4 3" xfId="2075"/>
    <cellStyle name="Total 4 4 3 2" xfId="2076"/>
    <cellStyle name="Total 4 4 4" xfId="2077"/>
    <cellStyle name="Total 4 5" xfId="2078"/>
    <cellStyle name="Total 4 5 2" xfId="2079"/>
    <cellStyle name="Total 4 5 2 2" xfId="2080"/>
    <cellStyle name="Total 4 5 3" xfId="2081"/>
    <cellStyle name="Total 4 6" xfId="2082"/>
    <cellStyle name="Total 4 6 2" xfId="2083"/>
    <cellStyle name="Total 4 7" xfId="2084"/>
    <cellStyle name="Total 5" xfId="273"/>
    <cellStyle name="Total 5 2" xfId="274"/>
    <cellStyle name="Total 5 2 2" xfId="2085"/>
    <cellStyle name="Total 5 2 2 2" xfId="2086"/>
    <cellStyle name="Total 5 2 2 2 2" xfId="2087"/>
    <cellStyle name="Total 5 2 2 2 2 2" xfId="2088"/>
    <cellStyle name="Total 5 2 2 2 3" xfId="2089"/>
    <cellStyle name="Total 5 2 2 3" xfId="2090"/>
    <cellStyle name="Total 5 2 2 3 2" xfId="2091"/>
    <cellStyle name="Total 5 2 2 4" xfId="2092"/>
    <cellStyle name="Total 5 2 3" xfId="2093"/>
    <cellStyle name="Total 5 2 3 2" xfId="2094"/>
    <cellStyle name="Total 5 2 3 2 2" xfId="2095"/>
    <cellStyle name="Total 5 2 3 2 2 2" xfId="2096"/>
    <cellStyle name="Total 5 2 3 2 3" xfId="2097"/>
    <cellStyle name="Total 5 2 3 3" xfId="2098"/>
    <cellStyle name="Total 5 2 3 3 2" xfId="2099"/>
    <cellStyle name="Total 5 2 3 4" xfId="2100"/>
    <cellStyle name="Total 5 2 4" xfId="2101"/>
    <cellStyle name="Total 5 2 4 2" xfId="2102"/>
    <cellStyle name="Total 5 2 4 2 2" xfId="2103"/>
    <cellStyle name="Total 5 2 4 3" xfId="2104"/>
    <cellStyle name="Total 5 2 5" xfId="2105"/>
    <cellStyle name="Total 5 2 5 2" xfId="2106"/>
    <cellStyle name="Total 5 2 6" xfId="2107"/>
    <cellStyle name="Total 5 3" xfId="2108"/>
    <cellStyle name="Total 5 3 2" xfId="2109"/>
    <cellStyle name="Total 5 3 2 2" xfId="2110"/>
    <cellStyle name="Total 5 3 2 2 2" xfId="2111"/>
    <cellStyle name="Total 5 3 2 3" xfId="2112"/>
    <cellStyle name="Total 5 3 3" xfId="2113"/>
    <cellStyle name="Total 5 3 3 2" xfId="2114"/>
    <cellStyle name="Total 5 3 4" xfId="2115"/>
    <cellStyle name="Total 5 4" xfId="2116"/>
    <cellStyle name="Total 5 4 2" xfId="2117"/>
    <cellStyle name="Total 5 4 2 2" xfId="2118"/>
    <cellStyle name="Total 5 4 2 2 2" xfId="2119"/>
    <cellStyle name="Total 5 4 2 3" xfId="2120"/>
    <cellStyle name="Total 5 4 3" xfId="2121"/>
    <cellStyle name="Total 5 4 3 2" xfId="2122"/>
    <cellStyle name="Total 5 4 4" xfId="2123"/>
    <cellStyle name="Total 5 5" xfId="2124"/>
    <cellStyle name="Total 5 5 2" xfId="2125"/>
    <cellStyle name="Total 5 5 2 2" xfId="2126"/>
    <cellStyle name="Total 5 5 3" xfId="2127"/>
    <cellStyle name="Total 5 6" xfId="2128"/>
    <cellStyle name="Total 5 6 2" xfId="2129"/>
    <cellStyle name="Total 5 7" xfId="2130"/>
    <cellStyle name="Total 6" xfId="275"/>
    <cellStyle name="Total 6 2" xfId="276"/>
    <cellStyle name="Total 6 2 2" xfId="2131"/>
    <cellStyle name="Total 6 2 2 2" xfId="2132"/>
    <cellStyle name="Total 6 2 2 2 2" xfId="2133"/>
    <cellStyle name="Total 6 2 2 2 2 2" xfId="2134"/>
    <cellStyle name="Total 6 2 2 2 3" xfId="2135"/>
    <cellStyle name="Total 6 2 2 3" xfId="2136"/>
    <cellStyle name="Total 6 2 2 3 2" xfId="2137"/>
    <cellStyle name="Total 6 2 2 4" xfId="2138"/>
    <cellStyle name="Total 6 2 3" xfId="2139"/>
    <cellStyle name="Total 6 2 3 2" xfId="2140"/>
    <cellStyle name="Total 6 2 3 2 2" xfId="2141"/>
    <cellStyle name="Total 6 2 3 2 2 2" xfId="2142"/>
    <cellStyle name="Total 6 2 3 2 3" xfId="2143"/>
    <cellStyle name="Total 6 2 3 3" xfId="2144"/>
    <cellStyle name="Total 6 2 3 3 2" xfId="2145"/>
    <cellStyle name="Total 6 2 3 4" xfId="2146"/>
    <cellStyle name="Total 6 2 4" xfId="2147"/>
    <cellStyle name="Total 6 2 4 2" xfId="2148"/>
    <cellStyle name="Total 6 2 4 2 2" xfId="2149"/>
    <cellStyle name="Total 6 2 4 3" xfId="2150"/>
    <cellStyle name="Total 6 2 5" xfId="2151"/>
    <cellStyle name="Total 6 2 5 2" xfId="2152"/>
    <cellStyle name="Total 6 2 6" xfId="2153"/>
    <cellStyle name="Total 6 3" xfId="2154"/>
    <cellStyle name="Total 6 3 2" xfId="2155"/>
    <cellStyle name="Total 6 3 2 2" xfId="2156"/>
    <cellStyle name="Total 6 3 2 2 2" xfId="2157"/>
    <cellStyle name="Total 6 3 2 3" xfId="2158"/>
    <cellStyle name="Total 6 3 3" xfId="2159"/>
    <cellStyle name="Total 6 3 3 2" xfId="2160"/>
    <cellStyle name="Total 6 3 4" xfId="2161"/>
    <cellStyle name="Total 6 4" xfId="2162"/>
    <cellStyle name="Total 6 4 2" xfId="2163"/>
    <cellStyle name="Total 6 4 2 2" xfId="2164"/>
    <cellStyle name="Total 6 4 2 2 2" xfId="2165"/>
    <cellStyle name="Total 6 4 2 3" xfId="2166"/>
    <cellStyle name="Total 6 4 3" xfId="2167"/>
    <cellStyle name="Total 6 4 3 2" xfId="2168"/>
    <cellStyle name="Total 6 4 4" xfId="2169"/>
    <cellStyle name="Total 6 5" xfId="2170"/>
    <cellStyle name="Total 6 5 2" xfId="2171"/>
    <cellStyle name="Total 6 5 2 2" xfId="2172"/>
    <cellStyle name="Total 6 5 3" xfId="2173"/>
    <cellStyle name="Total 6 6" xfId="2174"/>
    <cellStyle name="Total 6 6 2" xfId="2175"/>
    <cellStyle name="Total 6 7" xfId="2176"/>
    <cellStyle name="Total 7" xfId="277"/>
    <cellStyle name="Total 7 2" xfId="278"/>
    <cellStyle name="Total 7 2 2" xfId="2177"/>
    <cellStyle name="Total 7 2 2 2" xfId="2178"/>
    <cellStyle name="Total 7 2 2 2 2" xfId="2179"/>
    <cellStyle name="Total 7 2 2 2 2 2" xfId="2180"/>
    <cellStyle name="Total 7 2 2 2 3" xfId="2181"/>
    <cellStyle name="Total 7 2 2 3" xfId="2182"/>
    <cellStyle name="Total 7 2 2 3 2" xfId="2183"/>
    <cellStyle name="Total 7 2 2 4" xfId="2184"/>
    <cellStyle name="Total 7 2 3" xfId="2185"/>
    <cellStyle name="Total 7 2 3 2" xfId="2186"/>
    <cellStyle name="Total 7 2 3 2 2" xfId="2187"/>
    <cellStyle name="Total 7 2 3 2 2 2" xfId="2188"/>
    <cellStyle name="Total 7 2 3 2 3" xfId="2189"/>
    <cellStyle name="Total 7 2 3 3" xfId="2190"/>
    <cellStyle name="Total 7 2 3 3 2" xfId="2191"/>
    <cellStyle name="Total 7 2 3 4" xfId="2192"/>
    <cellStyle name="Total 7 2 4" xfId="2193"/>
    <cellStyle name="Total 7 2 4 2" xfId="2194"/>
    <cellStyle name="Total 7 2 4 2 2" xfId="2195"/>
    <cellStyle name="Total 7 2 4 3" xfId="2196"/>
    <cellStyle name="Total 7 2 5" xfId="2197"/>
    <cellStyle name="Total 7 2 5 2" xfId="2198"/>
    <cellStyle name="Total 7 2 6" xfId="2199"/>
    <cellStyle name="Total 7 3" xfId="2200"/>
    <cellStyle name="Total 7 3 2" xfId="2201"/>
    <cellStyle name="Total 7 3 2 2" xfId="2202"/>
    <cellStyle name="Total 7 3 2 2 2" xfId="2203"/>
    <cellStyle name="Total 7 3 2 3" xfId="2204"/>
    <cellStyle name="Total 7 3 3" xfId="2205"/>
    <cellStyle name="Total 7 3 3 2" xfId="2206"/>
    <cellStyle name="Total 7 3 4" xfId="2207"/>
    <cellStyle name="Total 7 4" xfId="2208"/>
    <cellStyle name="Total 7 4 2" xfId="2209"/>
    <cellStyle name="Total 7 4 2 2" xfId="2210"/>
    <cellStyle name="Total 7 4 2 2 2" xfId="2211"/>
    <cellStyle name="Total 7 4 2 3" xfId="2212"/>
    <cellStyle name="Total 7 4 3" xfId="2213"/>
    <cellStyle name="Total 7 4 3 2" xfId="2214"/>
    <cellStyle name="Total 7 4 4" xfId="2215"/>
    <cellStyle name="Total 7 5" xfId="2216"/>
    <cellStyle name="Total 7 5 2" xfId="2217"/>
    <cellStyle name="Total 7 5 2 2" xfId="2218"/>
    <cellStyle name="Total 7 5 3" xfId="2219"/>
    <cellStyle name="Total 7 6" xfId="2220"/>
    <cellStyle name="Total 7 6 2" xfId="2221"/>
    <cellStyle name="Total 7 7" xfId="2222"/>
    <cellStyle name="Total 8" xfId="279"/>
    <cellStyle name="Total 8 2" xfId="2223"/>
    <cellStyle name="Total 8 2 2" xfId="2224"/>
    <cellStyle name="Total 8 2 2 2" xfId="2225"/>
    <cellStyle name="Total 8 2 2 2 2" xfId="2226"/>
    <cellStyle name="Total 8 2 2 3" xfId="2227"/>
    <cellStyle name="Total 8 2 3" xfId="2228"/>
    <cellStyle name="Total 8 2 3 2" xfId="2229"/>
    <cellStyle name="Total 8 2 4" xfId="2230"/>
    <cellStyle name="Total 8 3" xfId="2231"/>
    <cellStyle name="Total 8 3 2" xfId="2232"/>
    <cellStyle name="Total 8 3 2 2" xfId="2233"/>
    <cellStyle name="Total 8 3 2 2 2" xfId="2234"/>
    <cellStyle name="Total 8 3 2 3" xfId="2235"/>
    <cellStyle name="Total 8 3 3" xfId="2236"/>
    <cellStyle name="Total 8 3 3 2" xfId="2237"/>
    <cellStyle name="Total 8 3 4" xfId="2238"/>
    <cellStyle name="Total 8 4" xfId="2239"/>
    <cellStyle name="Total 8 4 2" xfId="2240"/>
    <cellStyle name="Total 8 4 2 2" xfId="2241"/>
    <cellStyle name="Total 8 4 3" xfId="2242"/>
    <cellStyle name="Total 8 5" xfId="2243"/>
    <cellStyle name="Total 8 5 2" xfId="2244"/>
    <cellStyle name="Total 8 6" xfId="2245"/>
    <cellStyle name="Total 9" xfId="2246"/>
    <cellStyle name="Total 9 2" xfId="2247"/>
    <cellStyle name="Total 9 2 2" xfId="2248"/>
    <cellStyle name="Total 9 2 2 2" xfId="2249"/>
    <cellStyle name="Total 9 2 3" xfId="2250"/>
    <cellStyle name="Total 9 3" xfId="2251"/>
    <cellStyle name="Total 9 3 2" xfId="2252"/>
    <cellStyle name="Total 9 4" xfId="2253"/>
    <cellStyle name="Warning Text" xfId="102" builtinId="11" customBuiltin="1"/>
    <cellStyle name="Warning Text 2" xfId="2254"/>
  </cellStyles>
  <dxfs count="43">
    <dxf>
      <font>
        <color theme="0"/>
      </font>
    </dxf>
    <dxf>
      <font>
        <b val="0"/>
        <color rgb="FF00CCFF"/>
      </font>
    </dxf>
    <dxf>
      <fill>
        <patternFill>
          <bgColor indexed="10"/>
        </patternFill>
      </fill>
    </dxf>
    <dxf>
      <fill>
        <patternFill>
          <bgColor indexed="52"/>
        </patternFill>
      </fill>
    </dxf>
    <dxf>
      <fill>
        <patternFill>
          <bgColor indexed="11"/>
        </patternFill>
      </fill>
    </dxf>
    <dxf>
      <font>
        <condense val="0"/>
        <extend val="0"/>
        <color indexed="10"/>
      </font>
    </dxf>
    <dxf>
      <font>
        <condense val="0"/>
        <extend val="0"/>
        <color auto="1"/>
      </font>
    </dxf>
    <dxf>
      <fill>
        <patternFill>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ill>
        <patternFill>
          <bgColor indexed="52"/>
        </patternFill>
      </fill>
    </dxf>
    <dxf>
      <font>
        <condense val="0"/>
        <extend val="0"/>
        <color indexed="64"/>
      </font>
      <fill>
        <patternFill patternType="solid">
          <fgColor indexed="60"/>
          <bgColor indexed="10"/>
        </patternFill>
      </fill>
    </dxf>
    <dxf>
      <fill>
        <patternFill>
          <bgColor indexed="52"/>
        </patternFill>
      </fill>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99FF"/>
      </font>
    </dxf>
    <dxf>
      <font>
        <condense val="0"/>
        <extend val="0"/>
        <color indexed="10"/>
      </font>
    </dxf>
    <dxf>
      <font>
        <color rgb="FFFF0000"/>
      </font>
    </dxf>
    <dxf>
      <font>
        <color rgb="FFFF0000"/>
      </font>
    </dxf>
    <dxf>
      <font>
        <color rgb="FFFF0000"/>
      </font>
    </dxf>
    <dxf>
      <font>
        <color rgb="FFFF0000"/>
      </font>
    </dxf>
    <dxf>
      <font>
        <color rgb="FFFF99FF"/>
      </font>
    </dxf>
    <dxf>
      <font>
        <condense val="0"/>
        <extend val="0"/>
        <color indexed="10"/>
      </font>
    </dxf>
    <dxf>
      <font>
        <color rgb="FFFF0000"/>
      </font>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64"/>
      </font>
      <fill>
        <patternFill patternType="solid">
          <fgColor indexed="60"/>
          <bgColor indexed="10"/>
        </patternFill>
      </fill>
    </dxf>
    <dxf>
      <font>
        <condense val="0"/>
        <extend val="0"/>
        <color indexed="9"/>
      </font>
      <fill>
        <patternFill patternType="solid">
          <fgColor indexed="8"/>
          <bgColor indexed="10"/>
        </patternFill>
      </fill>
    </dxf>
    <dxf>
      <fill>
        <patternFill patternType="solid">
          <fgColor indexed="8"/>
          <bgColor indexed="51"/>
        </patternFill>
      </fill>
    </dxf>
    <dxf>
      <font>
        <condense val="0"/>
        <extend val="0"/>
      </font>
      <fill>
        <patternFill patternType="solid">
          <fgColor indexed="8"/>
          <bgColor indexed="11"/>
        </patternFill>
      </fill>
    </dxf>
    <dxf>
      <font>
        <condense val="0"/>
        <extend val="0"/>
        <color indexed="9"/>
      </font>
      <fill>
        <patternFill patternType="solid">
          <fgColor indexed="8"/>
          <bgColor indexed="10"/>
        </patternFill>
      </fill>
    </dxf>
    <dxf>
      <font>
        <i val="0"/>
        <condense val="0"/>
        <extend val="0"/>
      </font>
      <fill>
        <patternFill patternType="solid">
          <fgColor indexed="8"/>
          <bgColor indexed="51"/>
        </patternFill>
      </fill>
    </dxf>
    <dxf>
      <font>
        <condense val="0"/>
        <extend val="0"/>
      </font>
      <fill>
        <patternFill patternType="solid">
          <fgColor indexed="8"/>
          <bgColor indexed="11"/>
        </patternFill>
      </fill>
    </dxf>
  </dxfs>
  <tableStyles count="0" defaultTableStyle="TableStyleMedium2" defaultPivotStyle="PivotStyleLight16"/>
  <colors>
    <mruColors>
      <color rgb="FF808080"/>
      <color rgb="FFFF00FF"/>
      <color rgb="FFFAB882"/>
      <color rgb="FFC45D08"/>
      <color rgb="FFFFFF99"/>
      <color rgb="FFCC66FF"/>
      <color rgb="FFCCFFCC"/>
      <color rgb="FFA0D565"/>
      <color rgb="FF99CC00"/>
      <color rgb="FFCCFF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7</xdr:col>
      <xdr:colOff>317500</xdr:colOff>
      <xdr:row>36</xdr:row>
      <xdr:rowOff>25402</xdr:rowOff>
    </xdr:from>
    <xdr:to>
      <xdr:col>7</xdr:col>
      <xdr:colOff>317534</xdr:colOff>
      <xdr:row>38</xdr:row>
      <xdr:rowOff>103901</xdr:rowOff>
    </xdr:to>
    <xdr:cxnSp macro="">
      <xdr:nvCxnSpPr>
        <xdr:cNvPr id="3" name="Straight Arrow Connector 2"/>
        <xdr:cNvCxnSpPr/>
      </xdr:nvCxnSpPr>
      <xdr:spPr>
        <a:xfrm rot="5400000">
          <a:off x="5459867" y="7938635"/>
          <a:ext cx="510299" cy="3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xdr:colOff>
      <xdr:row>77</xdr:row>
      <xdr:rowOff>139700</xdr:rowOff>
    </xdr:from>
    <xdr:to>
      <xdr:col>11</xdr:col>
      <xdr:colOff>645300</xdr:colOff>
      <xdr:row>77</xdr:row>
      <xdr:rowOff>139700</xdr:rowOff>
    </xdr:to>
    <xdr:sp macro="" textlink="">
      <xdr:nvSpPr>
        <xdr:cNvPr id="4" name="Line 245"/>
        <xdr:cNvSpPr>
          <a:extLst>
            <a:ext uri="smNativeData">
              <pm:smNativeData xmlns:pm="pm" xmlns="" val="SMDATA_11_SWiLXRMAAAAlAAAACg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BAAAAAAAAAAAAAAAPAAAAAQAAACMAAAAjAAAAIwAAAB4AAAAAAAAAZAAAAGQAAAAC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C4AAAAqAAAAeAAAAAkAAAB0AgcAeAAAAAoAAAB0AqsDYiwAACyOAAA1CAAAAAAAAAAA"/>
            </a:ext>
          </a:extLst>
        </xdr:cNvSpPr>
      </xdr:nvSpPr>
      <xdr:spPr>
        <a:xfrm>
          <a:off x="4775200" y="16751300"/>
          <a:ext cx="3960000" cy="0"/>
        </a:xfrm>
        <a:prstGeom prst="line">
          <a:avLst/>
        </a:prstGeom>
        <a:noFill/>
        <a:ln w="9525" cap="flat">
          <a:solidFill>
            <a:srgbClr val="000000"/>
          </a:solidFill>
          <a:prstDash val="solid"/>
          <a:miter lim="800000"/>
          <a:headEnd type="none" w="med" len="med"/>
          <a:tailEnd type="triangle" w="med" len="med"/>
        </a:ln>
        <a:effec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89</xdr:row>
      <xdr:rowOff>39143</xdr:rowOff>
    </xdr:from>
    <xdr:to>
      <xdr:col>21</xdr:col>
      <xdr:colOff>4152</xdr:colOff>
      <xdr:row>102</xdr:row>
      <xdr:rowOff>185976</xdr:rowOff>
    </xdr:to>
    <xdr:sp macro="" textlink="" fLocksText="0">
      <xdr:nvSpPr>
        <xdr:cNvPr id="2" name="Text Box 19"/>
        <xdr:cNvSpPr txBox="1">
          <a:spLocks noChangeArrowheads="1"/>
        </xdr:cNvSpPr>
      </xdr:nvSpPr>
      <xdr:spPr bwMode="auto">
        <a:xfrm>
          <a:off x="88900" y="18962143"/>
          <a:ext cx="12539052" cy="2953533"/>
        </a:xfrm>
        <a:prstGeom prst="rect">
          <a:avLst/>
        </a:prstGeom>
        <a:solidFill>
          <a:srgbClr val="FFFFFF"/>
        </a:solidFill>
        <a:ln w="9525">
          <a:solidFill>
            <a:srgbClr val="808080"/>
          </a:solidFill>
          <a:miter lim="800000"/>
          <a:headEnd/>
          <a:tailEnd/>
        </a:ln>
      </xdr:spPr>
      <xdr:txBody>
        <a:bodyPr/>
        <a:lstStyle/>
        <a:p>
          <a:endParaRPr lang="en-GB"/>
        </a:p>
      </xdr:txBody>
    </xdr:sp>
    <xdr:clientData/>
  </xdr:twoCellAnchor>
  <xdr:twoCellAnchor>
    <xdr:from>
      <xdr:col>0</xdr:col>
      <xdr:colOff>47089</xdr:colOff>
      <xdr:row>13</xdr:row>
      <xdr:rowOff>10159</xdr:rowOff>
    </xdr:from>
    <xdr:to>
      <xdr:col>21</xdr:col>
      <xdr:colOff>17973</xdr:colOff>
      <xdr:row>17</xdr:row>
      <xdr:rowOff>114994</xdr:rowOff>
    </xdr:to>
    <xdr:pic>
      <xdr:nvPicPr>
        <xdr:cNvPr id="3" name="Picture 690"/>
        <xdr:cNvPicPr>
          <a:picLocks noRot="1" noChangeAspect="1" noChangeArrowheads="1"/>
        </xdr:cNvPicPr>
      </xdr:nvPicPr>
      <xdr:blipFill>
        <a:blip xmlns:r="http://schemas.openxmlformats.org/officeDocument/2006/relationships" r:embed="rId1" cstate="print"/>
        <a:srcRect/>
        <a:stretch>
          <a:fillRect/>
        </a:stretch>
      </xdr:blipFill>
      <xdr:spPr bwMode="auto">
        <a:xfrm>
          <a:off x="47089" y="2620009"/>
          <a:ext cx="12486734" cy="943035"/>
        </a:xfrm>
        <a:prstGeom prst="rect">
          <a:avLst/>
        </a:prstGeom>
        <a:noFill/>
        <a:ln w="9525">
          <a:noFill/>
          <a:miter lim="800000"/>
          <a:headEnd/>
          <a:tailEnd/>
        </a:ln>
      </xdr:spPr>
    </xdr:pic>
    <xdr:clientData/>
  </xdr:twoCellAnchor>
  <xdr:twoCellAnchor editAs="oneCell">
    <xdr:from>
      <xdr:col>8</xdr:col>
      <xdr:colOff>439007</xdr:colOff>
      <xdr:row>28</xdr:row>
      <xdr:rowOff>44129</xdr:rowOff>
    </xdr:from>
    <xdr:to>
      <xdr:col>9</xdr:col>
      <xdr:colOff>102054</xdr:colOff>
      <xdr:row>30</xdr:row>
      <xdr:rowOff>204105</xdr:rowOff>
    </xdr:to>
    <xdr:pic>
      <xdr:nvPicPr>
        <xdr:cNvPr id="6" name="Picture 5" descr="hops.jpg"/>
        <xdr:cNvPicPr>
          <a:picLocks noChangeAspect="1"/>
        </xdr:cNvPicPr>
      </xdr:nvPicPr>
      <xdr:blipFill>
        <a:blip xmlns:r="http://schemas.openxmlformats.org/officeDocument/2006/relationships" r:embed="rId2" cstate="print"/>
        <a:stretch>
          <a:fillRect/>
        </a:stretch>
      </xdr:blipFill>
      <xdr:spPr>
        <a:xfrm flipH="1">
          <a:off x="5076775" y="5725111"/>
          <a:ext cx="1057779" cy="568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51072</xdr:colOff>
      <xdr:row>125</xdr:row>
      <xdr:rowOff>113003</xdr:rowOff>
    </xdr:from>
    <xdr:to>
      <xdr:col>9</xdr:col>
      <xdr:colOff>123072</xdr:colOff>
      <xdr:row>134</xdr:row>
      <xdr:rowOff>103275</xdr:rowOff>
    </xdr:to>
    <xdr:sp macro="" textlink="">
      <xdr:nvSpPr>
        <xdr:cNvPr id="2" name="AutoShape 3"/>
        <xdr:cNvSpPr>
          <a:spLocks/>
        </xdr:cNvSpPr>
      </xdr:nvSpPr>
      <xdr:spPr bwMode="auto">
        <a:xfrm>
          <a:off x="6832872" y="22887278"/>
          <a:ext cx="72000" cy="1447597"/>
        </a:xfrm>
        <a:prstGeom prst="rightBrace">
          <a:avLst>
            <a:gd name="adj1" fmla="val 29197"/>
            <a:gd name="adj2" fmla="val 54889"/>
          </a:avLst>
        </a:prstGeom>
        <a:noFill/>
        <a:ln w="9525">
          <a:solidFill>
            <a:srgbClr val="000000"/>
          </a:solidFill>
          <a:round/>
          <a:headEnd/>
          <a:tailEnd/>
        </a:ln>
      </xdr:spPr>
    </xdr:sp>
    <xdr:clientData/>
  </xdr:twoCellAnchor>
  <xdr:twoCellAnchor>
    <xdr:from>
      <xdr:col>9</xdr:col>
      <xdr:colOff>41546</xdr:colOff>
      <xdr:row>136</xdr:row>
      <xdr:rowOff>1945</xdr:rowOff>
    </xdr:from>
    <xdr:to>
      <xdr:col>9</xdr:col>
      <xdr:colOff>113546</xdr:colOff>
      <xdr:row>154</xdr:row>
      <xdr:rowOff>144618</xdr:rowOff>
    </xdr:to>
    <xdr:sp macro="" textlink="">
      <xdr:nvSpPr>
        <xdr:cNvPr id="3" name="AutoShape 4"/>
        <xdr:cNvSpPr>
          <a:spLocks/>
        </xdr:cNvSpPr>
      </xdr:nvSpPr>
      <xdr:spPr bwMode="auto">
        <a:xfrm>
          <a:off x="6823346" y="24557395"/>
          <a:ext cx="72000" cy="3057323"/>
        </a:xfrm>
        <a:prstGeom prst="rightBrace">
          <a:avLst>
            <a:gd name="adj1" fmla="val 59123"/>
            <a:gd name="adj2" fmla="val 46995"/>
          </a:avLst>
        </a:prstGeom>
        <a:noFill/>
        <a:ln w="9525">
          <a:solidFill>
            <a:srgbClr val="000000"/>
          </a:solidFill>
          <a:round/>
          <a:headEnd/>
          <a:tailEnd/>
        </a:ln>
      </xdr:spPr>
    </xdr:sp>
    <xdr:clientData/>
  </xdr:twoCellAnchor>
  <xdr:twoCellAnchor>
    <xdr:from>
      <xdr:col>9</xdr:col>
      <xdr:colOff>36195</xdr:colOff>
      <xdr:row>156</xdr:row>
      <xdr:rowOff>32385</xdr:rowOff>
    </xdr:from>
    <xdr:to>
      <xdr:col>9</xdr:col>
      <xdr:colOff>108195</xdr:colOff>
      <xdr:row>168</xdr:row>
      <xdr:rowOff>11430</xdr:rowOff>
    </xdr:to>
    <xdr:sp macro="" textlink="">
      <xdr:nvSpPr>
        <xdr:cNvPr id="4" name="AutoShape 5"/>
        <xdr:cNvSpPr>
          <a:spLocks/>
        </xdr:cNvSpPr>
      </xdr:nvSpPr>
      <xdr:spPr bwMode="auto">
        <a:xfrm>
          <a:off x="6817995" y="27826335"/>
          <a:ext cx="72000" cy="1922145"/>
        </a:xfrm>
        <a:prstGeom prst="rightBrace">
          <a:avLst>
            <a:gd name="adj1" fmla="val 40512"/>
            <a:gd name="adj2" fmla="val 59324"/>
          </a:avLst>
        </a:prstGeom>
        <a:noFill/>
        <a:ln w="9525">
          <a:solidFill>
            <a:srgbClr val="000000"/>
          </a:solidFill>
          <a:round/>
          <a:headEnd/>
          <a:tailEnd/>
        </a:ln>
      </xdr:spPr>
    </xdr:sp>
    <xdr:clientData/>
  </xdr:twoCellAnchor>
  <xdr:twoCellAnchor>
    <xdr:from>
      <xdr:col>9</xdr:col>
      <xdr:colOff>49530</xdr:colOff>
      <xdr:row>168</xdr:row>
      <xdr:rowOff>140970</xdr:rowOff>
    </xdr:from>
    <xdr:to>
      <xdr:col>9</xdr:col>
      <xdr:colOff>121530</xdr:colOff>
      <xdr:row>177</xdr:row>
      <xdr:rowOff>131445</xdr:rowOff>
    </xdr:to>
    <xdr:sp macro="" textlink="">
      <xdr:nvSpPr>
        <xdr:cNvPr id="5" name="AutoShape 6"/>
        <xdr:cNvSpPr>
          <a:spLocks/>
        </xdr:cNvSpPr>
      </xdr:nvSpPr>
      <xdr:spPr bwMode="auto">
        <a:xfrm>
          <a:off x="6831330" y="29878020"/>
          <a:ext cx="72000" cy="1447800"/>
        </a:xfrm>
        <a:prstGeom prst="rightBrace">
          <a:avLst>
            <a:gd name="adj1" fmla="val 25693"/>
            <a:gd name="adj2" fmla="val 55639"/>
          </a:avLst>
        </a:prstGeom>
        <a:noFill/>
        <a:ln w="9525">
          <a:solidFill>
            <a:srgbClr val="000000"/>
          </a:solidFill>
          <a:round/>
          <a:headEnd/>
          <a:tailEnd/>
        </a:ln>
      </xdr:spPr>
    </xdr:sp>
    <xdr:clientData/>
  </xdr:twoCellAnchor>
  <xdr:twoCellAnchor>
    <xdr:from>
      <xdr:col>1</xdr:col>
      <xdr:colOff>87352</xdr:colOff>
      <xdr:row>73</xdr:row>
      <xdr:rowOff>102314</xdr:rowOff>
    </xdr:from>
    <xdr:to>
      <xdr:col>14</xdr:col>
      <xdr:colOff>457199</xdr:colOff>
      <xdr:row>93</xdr:row>
      <xdr:rowOff>12699</xdr:rowOff>
    </xdr:to>
    <xdr:sp macro="" textlink="" fLocksText="0">
      <xdr:nvSpPr>
        <xdr:cNvPr id="7" name="Text Box 19"/>
        <xdr:cNvSpPr txBox="1">
          <a:spLocks noChangeArrowheads="1"/>
        </xdr:cNvSpPr>
      </xdr:nvSpPr>
      <xdr:spPr bwMode="auto">
        <a:xfrm>
          <a:off x="239752" y="13958014"/>
          <a:ext cx="9894847" cy="3720385"/>
        </a:xfrm>
        <a:prstGeom prst="rect">
          <a:avLst/>
        </a:prstGeom>
        <a:solidFill>
          <a:srgbClr val="FFFFFF"/>
        </a:solidFill>
        <a:ln w="9525">
          <a:solidFill>
            <a:srgbClr val="808080"/>
          </a:solidFill>
          <a:miter lim="800000"/>
          <a:headEnd/>
          <a:tailEnd/>
        </a:ln>
      </xdr:spPr>
    </xdr:sp>
    <xdr:clientData/>
  </xdr:twoCellAnchor>
  <xdr:twoCellAnchor>
    <xdr:from>
      <xdr:col>0</xdr:col>
      <xdr:colOff>23269</xdr:colOff>
      <xdr:row>15</xdr:row>
      <xdr:rowOff>6219</xdr:rowOff>
    </xdr:from>
    <xdr:to>
      <xdr:col>19</xdr:col>
      <xdr:colOff>552450</xdr:colOff>
      <xdr:row>19</xdr:row>
      <xdr:rowOff>140421</xdr:rowOff>
    </xdr:to>
    <xdr:pic>
      <xdr:nvPicPr>
        <xdr:cNvPr id="8" name="Picture 690"/>
        <xdr:cNvPicPr>
          <a:picLocks noRot="1" noChangeAspect="1" noChangeArrowheads="1"/>
        </xdr:cNvPicPr>
      </xdr:nvPicPr>
      <xdr:blipFill>
        <a:blip xmlns:r="http://schemas.openxmlformats.org/officeDocument/2006/relationships" r:embed="rId1" cstate="print"/>
        <a:srcRect/>
        <a:stretch>
          <a:fillRect/>
        </a:stretch>
      </xdr:blipFill>
      <xdr:spPr bwMode="auto">
        <a:xfrm>
          <a:off x="23269" y="2958969"/>
          <a:ext cx="13006931" cy="896202"/>
        </a:xfrm>
        <a:prstGeom prst="rect">
          <a:avLst/>
        </a:prstGeom>
        <a:noFill/>
        <a:ln w="9525">
          <a:noFill/>
          <a:miter lim="800000"/>
          <a:headEnd/>
          <a:tailEnd/>
        </a:ln>
      </xdr:spPr>
    </xdr:pic>
    <xdr:clientData/>
  </xdr:twoCellAnchor>
  <xdr:twoCellAnchor editAs="absolute">
    <xdr:from>
      <xdr:col>39</xdr:col>
      <xdr:colOff>193026</xdr:colOff>
      <xdr:row>74</xdr:row>
      <xdr:rowOff>117424</xdr:rowOff>
    </xdr:from>
    <xdr:to>
      <xdr:col>48</xdr:col>
      <xdr:colOff>461055</xdr:colOff>
      <xdr:row>91</xdr:row>
      <xdr:rowOff>90098</xdr:rowOff>
    </xdr:to>
    <xdr:pic>
      <xdr:nvPicPr>
        <xdr:cNvPr id="9" name="Picture 8"/>
        <xdr:cNvPicPr>
          <a:picLocks noChangeAspect="1"/>
        </xdr:cNvPicPr>
      </xdr:nvPicPr>
      <xdr:blipFill>
        <a:blip xmlns:r="http://schemas.openxmlformats.org/officeDocument/2006/relationships" r:embed="rId2" cstate="print"/>
        <a:stretch>
          <a:fillRect/>
        </a:stretch>
      </xdr:blipFill>
      <xdr:spPr>
        <a:xfrm>
          <a:off x="13502626" y="14354124"/>
          <a:ext cx="4205029" cy="3211174"/>
        </a:xfrm>
        <a:prstGeom prst="rect">
          <a:avLst/>
        </a:prstGeom>
      </xdr:spPr>
    </xdr:pic>
    <xdr:clientData/>
  </xdr:twoCellAnchor>
  <xdr:twoCellAnchor editAs="oneCell">
    <xdr:from>
      <xdr:col>17</xdr:col>
      <xdr:colOff>422276</xdr:colOff>
      <xdr:row>2</xdr:row>
      <xdr:rowOff>177808</xdr:rowOff>
    </xdr:from>
    <xdr:to>
      <xdr:col>19</xdr:col>
      <xdr:colOff>196850</xdr:colOff>
      <xdr:row>14</xdr:row>
      <xdr:rowOff>181273</xdr:rowOff>
    </xdr:to>
    <xdr:pic>
      <xdr:nvPicPr>
        <xdr:cNvPr id="10" name="Picture 9" descr="lindemans-lambic-olglas.jpg"/>
        <xdr:cNvPicPr>
          <a:picLocks noChangeAspect="1"/>
        </xdr:cNvPicPr>
      </xdr:nvPicPr>
      <xdr:blipFill>
        <a:blip xmlns:r="http://schemas.openxmlformats.org/officeDocument/2006/relationships" r:embed="rId3" cstate="print"/>
        <a:srcRect l="3853" t="861" r="7025" b="1114"/>
        <a:stretch>
          <a:fillRect/>
        </a:stretch>
      </xdr:blipFill>
      <xdr:spPr>
        <a:xfrm>
          <a:off x="11712576" y="660408"/>
          <a:ext cx="993774" cy="2276765"/>
        </a:xfrm>
        <a:prstGeom prst="rect">
          <a:avLst/>
        </a:prstGeom>
      </xdr:spPr>
    </xdr:pic>
    <xdr:clientData/>
  </xdr:twoCellAnchor>
  <xdr:twoCellAnchor>
    <xdr:from>
      <xdr:col>4</xdr:col>
      <xdr:colOff>12700</xdr:colOff>
      <xdr:row>123</xdr:row>
      <xdr:rowOff>88900</xdr:rowOff>
    </xdr:from>
    <xdr:to>
      <xdr:col>10</xdr:col>
      <xdr:colOff>50800</xdr:colOff>
      <xdr:row>123</xdr:row>
      <xdr:rowOff>90488</xdr:rowOff>
    </xdr:to>
    <xdr:cxnSp macro="">
      <xdr:nvCxnSpPr>
        <xdr:cNvPr id="11" name="Straight Arrow Connector 10"/>
        <xdr:cNvCxnSpPr/>
      </xdr:nvCxnSpPr>
      <xdr:spPr>
        <a:xfrm>
          <a:off x="3403600" y="22539325"/>
          <a:ext cx="3924300" cy="1588"/>
        </a:xfrm>
        <a:prstGeom prst="straightConnector1">
          <a:avLst/>
        </a:prstGeom>
        <a:ln>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558785</xdr:colOff>
      <xdr:row>33</xdr:row>
      <xdr:rowOff>18128</xdr:rowOff>
    </xdr:from>
    <xdr:to>
      <xdr:col>3</xdr:col>
      <xdr:colOff>632251</xdr:colOff>
      <xdr:row>35</xdr:row>
      <xdr:rowOff>4743</xdr:rowOff>
    </xdr:to>
    <xdr:sp macro="" textlink="">
      <xdr:nvSpPr>
        <xdr:cNvPr id="12" name="AutoShape 12"/>
        <xdr:cNvSpPr>
          <a:spLocks/>
        </xdr:cNvSpPr>
      </xdr:nvSpPr>
      <xdr:spPr bwMode="auto">
        <a:xfrm flipH="1">
          <a:off x="3276585" y="6406228"/>
          <a:ext cx="73466" cy="367615"/>
        </a:xfrm>
        <a:prstGeom prst="rightBrace">
          <a:avLst>
            <a:gd name="adj1" fmla="val 39778"/>
            <a:gd name="adj2" fmla="val 50000"/>
          </a:avLst>
        </a:prstGeom>
        <a:noFill/>
        <a:ln w="9525">
          <a:solidFill>
            <a:srgbClr val="000000"/>
          </a:solidFill>
          <a:round/>
          <a:headEnd/>
          <a:tailEnd/>
        </a:ln>
      </xdr:spPr>
      <xdr:txBody>
        <a:bodyPr/>
        <a:lstStyle/>
        <a:p>
          <a:endParaRPr lang="en-GB"/>
        </a:p>
      </xdr:txBody>
    </xdr:sp>
    <xdr:clientData/>
  </xdr:twoCellAnchor>
  <xdr:twoCellAnchor editAs="oneCell">
    <xdr:from>
      <xdr:col>7</xdr:col>
      <xdr:colOff>444500</xdr:colOff>
      <xdr:row>33</xdr:row>
      <xdr:rowOff>12699</xdr:rowOff>
    </xdr:from>
    <xdr:to>
      <xdr:col>9</xdr:col>
      <xdr:colOff>140961</xdr:colOff>
      <xdr:row>36</xdr:row>
      <xdr:rowOff>165100</xdr:rowOff>
    </xdr:to>
    <xdr:pic>
      <xdr:nvPicPr>
        <xdr:cNvPr id="15" name="Picture 14" descr="hops2.jpg"/>
        <xdr:cNvPicPr>
          <a:picLocks noChangeAspect="1"/>
        </xdr:cNvPicPr>
      </xdr:nvPicPr>
      <xdr:blipFill>
        <a:blip xmlns:r="http://schemas.openxmlformats.org/officeDocument/2006/relationships" r:embed="rId4"/>
        <a:srcRect l="1797" t="8209" r="3254" b="5224"/>
        <a:stretch>
          <a:fillRect/>
        </a:stretch>
      </xdr:blipFill>
      <xdr:spPr>
        <a:xfrm>
          <a:off x="5803900" y="6388099"/>
          <a:ext cx="1195061" cy="723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2203</xdr:colOff>
      <xdr:row>55</xdr:row>
      <xdr:rowOff>61945</xdr:rowOff>
    </xdr:from>
    <xdr:to>
      <xdr:col>8</xdr:col>
      <xdr:colOff>559836</xdr:colOff>
      <xdr:row>92</xdr:row>
      <xdr:rowOff>116633</xdr:rowOff>
    </xdr:to>
    <xdr:sp macro="" textlink="" fLocksText="0">
      <xdr:nvSpPr>
        <xdr:cNvPr id="2" name="Text Box 19"/>
        <xdr:cNvSpPr txBox="1">
          <a:spLocks noChangeArrowheads="1"/>
        </xdr:cNvSpPr>
      </xdr:nvSpPr>
      <xdr:spPr bwMode="auto">
        <a:xfrm>
          <a:off x="65703" y="10666445"/>
          <a:ext cx="5929733" cy="7293688"/>
        </a:xfrm>
        <a:prstGeom prst="rect">
          <a:avLst/>
        </a:prstGeom>
        <a:solidFill>
          <a:srgbClr val="FFFFFF"/>
        </a:solidFill>
        <a:ln w="9525">
          <a:solidFill>
            <a:srgbClr val="808080"/>
          </a:solidFill>
          <a:miter lim="800000"/>
          <a:headEnd/>
          <a:tailEnd/>
        </a:ln>
      </xdr:spPr>
      <xdr:txBody>
        <a:bodyPr vertOverflow="clip" wrap="square" lIns="27305" tIns="22860" rIns="0" bIns="0" anchor="t" upright="1"/>
        <a:lstStyle/>
        <a:p>
          <a:pPr algn="l" rtl="0">
            <a:defRPr sz="1000"/>
          </a:pPr>
          <a:r>
            <a:rPr lang="en-GB" sz="1000" b="0" i="0" u="none" strike="noStrike" baseline="0">
              <a:solidFill>
                <a:srgbClr val="000000"/>
              </a:solidFill>
              <a:latin typeface="Times New Roman"/>
              <a:cs typeface="Times New Roman"/>
            </a:rPr>
            <a:t>Made using "</a:t>
          </a:r>
          <a:r>
            <a:rPr lang="en-GB" sz="1000" b="1" i="0" u="none" strike="noStrike" baseline="0">
              <a:solidFill>
                <a:srgbClr val="FF00FF"/>
              </a:solidFill>
              <a:latin typeface="Times New Roman"/>
              <a:cs typeface="Times New Roman"/>
            </a:rPr>
            <a:t>METHOD 2</a:t>
          </a:r>
          <a:r>
            <a:rPr lang="en-GB" sz="1000" b="0" i="0" u="none" strike="noStrike" baseline="0">
              <a:solidFill>
                <a:srgbClr val="000000"/>
              </a:solidFill>
              <a:latin typeface="Times New Roman"/>
              <a:cs typeface="Times New Roman"/>
            </a:rPr>
            <a:t>". </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12748</xdr:colOff>
      <xdr:row>17</xdr:row>
      <xdr:rowOff>7486</xdr:rowOff>
    </xdr:from>
    <xdr:to>
      <xdr:col>11</xdr:col>
      <xdr:colOff>544286</xdr:colOff>
      <xdr:row>20</xdr:row>
      <xdr:rowOff>49480</xdr:rowOff>
    </xdr:to>
    <xdr:pic>
      <xdr:nvPicPr>
        <xdr:cNvPr id="5" name="Picture 206"/>
        <xdr:cNvPicPr>
          <a:picLocks noRot="1" noChangeAspect="1" noChangeArrowheads="1"/>
        </xdr:cNvPicPr>
      </xdr:nvPicPr>
      <xdr:blipFill>
        <a:blip xmlns:r="http://schemas.openxmlformats.org/officeDocument/2006/relationships" r:embed="rId1" cstate="print"/>
        <a:srcRect/>
        <a:stretch>
          <a:fillRect/>
        </a:stretch>
      </xdr:blipFill>
      <xdr:spPr bwMode="auto">
        <a:xfrm>
          <a:off x="12748" y="3415021"/>
          <a:ext cx="8607665" cy="672522"/>
        </a:xfrm>
        <a:prstGeom prst="rect">
          <a:avLst/>
        </a:prstGeom>
        <a:noFill/>
        <a:ln w="9525">
          <a:noFill/>
          <a:miter lim="800000"/>
          <a:headEnd/>
          <a:tailEnd/>
        </a:ln>
      </xdr:spPr>
    </xdr:pic>
    <xdr:clientData/>
  </xdr:twoCellAnchor>
  <xdr:twoCellAnchor>
    <xdr:from>
      <xdr:col>15</xdr:col>
      <xdr:colOff>43409</xdr:colOff>
      <xdr:row>4</xdr:row>
      <xdr:rowOff>14056</xdr:rowOff>
    </xdr:from>
    <xdr:to>
      <xdr:col>15</xdr:col>
      <xdr:colOff>119609</xdr:colOff>
      <xdr:row>5</xdr:row>
      <xdr:rowOff>200666</xdr:rowOff>
    </xdr:to>
    <xdr:sp macro="" textlink="">
      <xdr:nvSpPr>
        <xdr:cNvPr id="6" name="AutoShape 12"/>
        <xdr:cNvSpPr>
          <a:spLocks/>
        </xdr:cNvSpPr>
      </xdr:nvSpPr>
      <xdr:spPr bwMode="auto">
        <a:xfrm>
          <a:off x="10406609" y="903056"/>
          <a:ext cx="76200" cy="402510"/>
        </a:xfrm>
        <a:prstGeom prst="rightBrace">
          <a:avLst>
            <a:gd name="adj1" fmla="val 39778"/>
            <a:gd name="adj2" fmla="val 50000"/>
          </a:avLst>
        </a:prstGeom>
        <a:noFill/>
        <a:ln w="9525">
          <a:solidFill>
            <a:srgbClr val="000000"/>
          </a:solidFill>
          <a:round/>
          <a:headEnd/>
          <a:tailEnd/>
        </a:ln>
      </xdr:spPr>
    </xdr:sp>
    <xdr:clientData/>
  </xdr:twoCellAnchor>
  <xdr:twoCellAnchor editAs="oneCell">
    <xdr:from>
      <xdr:col>38</xdr:col>
      <xdr:colOff>203200</xdr:colOff>
      <xdr:row>52</xdr:row>
      <xdr:rowOff>60986</xdr:rowOff>
    </xdr:from>
    <xdr:to>
      <xdr:col>38</xdr:col>
      <xdr:colOff>1231900</xdr:colOff>
      <xdr:row>57</xdr:row>
      <xdr:rowOff>2353</xdr:rowOff>
    </xdr:to>
    <xdr:pic>
      <xdr:nvPicPr>
        <xdr:cNvPr id="8" name="Picture 7" descr="61CSXuScnaL._SL1000_ copy.jpg"/>
        <xdr:cNvPicPr>
          <a:picLocks noChangeAspect="1"/>
        </xdr:cNvPicPr>
      </xdr:nvPicPr>
      <xdr:blipFill>
        <a:blip xmlns:r="http://schemas.openxmlformats.org/officeDocument/2006/relationships" r:embed="rId2" cstate="print"/>
        <a:stretch>
          <a:fillRect/>
        </a:stretch>
      </xdr:blipFill>
      <xdr:spPr>
        <a:xfrm>
          <a:off x="13601700" y="11300486"/>
          <a:ext cx="1028700" cy="1020867"/>
        </a:xfrm>
        <a:prstGeom prst="rect">
          <a:avLst/>
        </a:prstGeom>
      </xdr:spPr>
    </xdr:pic>
    <xdr:clientData/>
  </xdr:twoCellAnchor>
  <xdr:twoCellAnchor editAs="oneCell">
    <xdr:from>
      <xdr:col>9</xdr:col>
      <xdr:colOff>660400</xdr:colOff>
      <xdr:row>24</xdr:row>
      <xdr:rowOff>50799</xdr:rowOff>
    </xdr:from>
    <xdr:to>
      <xdr:col>10</xdr:col>
      <xdr:colOff>165317</xdr:colOff>
      <xdr:row>27</xdr:row>
      <xdr:rowOff>5516</xdr:rowOff>
    </xdr:to>
    <xdr:pic>
      <xdr:nvPicPr>
        <xdr:cNvPr id="9" name="Picture 8" descr="images1.jpg"/>
        <xdr:cNvPicPr>
          <a:picLocks noChangeAspect="1"/>
        </xdr:cNvPicPr>
      </xdr:nvPicPr>
      <xdr:blipFill>
        <a:blip xmlns:r="http://schemas.openxmlformats.org/officeDocument/2006/relationships" r:embed="rId3" cstate="print"/>
        <a:srcRect t="2875" b="3366"/>
        <a:stretch>
          <a:fillRect/>
        </a:stretch>
      </xdr:blipFill>
      <xdr:spPr>
        <a:xfrm>
          <a:off x="6680200" y="5245099"/>
          <a:ext cx="901917" cy="6024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507118</xdr:colOff>
      <xdr:row>71</xdr:row>
      <xdr:rowOff>94522</xdr:rowOff>
    </xdr:from>
    <xdr:to>
      <xdr:col>3</xdr:col>
      <xdr:colOff>278518</xdr:colOff>
      <xdr:row>71</xdr:row>
      <xdr:rowOff>94522</xdr:rowOff>
    </xdr:to>
    <xdr:sp macro="" textlink="">
      <xdr:nvSpPr>
        <xdr:cNvPr id="2" name="Line 2">
          <a:extLst>
            <a:ext uri="{FF2B5EF4-FFF2-40B4-BE49-F238E27FC236}">
              <a16:creationId xmlns:a16="http://schemas.microsoft.com/office/drawing/2014/main" xmlns="" id="{00000000-0008-0000-0800-000003000000}"/>
            </a:ext>
          </a:extLst>
        </xdr:cNvPr>
        <xdr:cNvSpPr>
          <a:spLocks noChangeShapeType="1"/>
        </xdr:cNvSpPr>
      </xdr:nvSpPr>
      <xdr:spPr bwMode="auto">
        <a:xfrm>
          <a:off x="1954918" y="14610622"/>
          <a:ext cx="590550" cy="0"/>
        </a:xfrm>
        <a:prstGeom prst="line">
          <a:avLst/>
        </a:prstGeom>
        <a:noFill/>
        <a:ln w="9525">
          <a:solidFill>
            <a:srgbClr val="000000"/>
          </a:solidFill>
          <a:round/>
          <a:headEnd/>
          <a:tailEnd type="triangle" w="med" len="med"/>
        </a:ln>
      </xdr:spPr>
    </xdr:sp>
    <xdr:clientData/>
  </xdr:twoCellAnchor>
  <xdr:twoCellAnchor>
    <xdr:from>
      <xdr:col>2</xdr:col>
      <xdr:colOff>514738</xdr:colOff>
      <xdr:row>78</xdr:row>
      <xdr:rowOff>111218</xdr:rowOff>
    </xdr:from>
    <xdr:to>
      <xdr:col>3</xdr:col>
      <xdr:colOff>286138</xdr:colOff>
      <xdr:row>78</xdr:row>
      <xdr:rowOff>111218</xdr:rowOff>
    </xdr:to>
    <xdr:sp macro="" textlink="">
      <xdr:nvSpPr>
        <xdr:cNvPr id="3" name="Line 2">
          <a:extLst>
            <a:ext uri="{FF2B5EF4-FFF2-40B4-BE49-F238E27FC236}">
              <a16:creationId xmlns:a16="http://schemas.microsoft.com/office/drawing/2014/main" xmlns="" id="{00000000-0008-0000-0800-000004000000}"/>
            </a:ext>
          </a:extLst>
        </xdr:cNvPr>
        <xdr:cNvSpPr>
          <a:spLocks noChangeShapeType="1"/>
        </xdr:cNvSpPr>
      </xdr:nvSpPr>
      <xdr:spPr bwMode="auto">
        <a:xfrm>
          <a:off x="1962538" y="16027493"/>
          <a:ext cx="590550" cy="0"/>
        </a:xfrm>
        <a:prstGeom prst="line">
          <a:avLst/>
        </a:prstGeom>
        <a:noFill/>
        <a:ln w="9525">
          <a:solidFill>
            <a:srgbClr val="000000"/>
          </a:solidFill>
          <a:round/>
          <a:headEnd/>
          <a:tailEnd type="triangle" w="med" len="med"/>
        </a:ln>
      </xdr:spPr>
      <xdr:txBody>
        <a:bodyPr/>
        <a:lstStyle/>
        <a:p>
          <a:endParaRPr lang="en-GB"/>
        </a:p>
        <a:p>
          <a:endParaRPr lang="en-GB"/>
        </a:p>
      </xdr:txBody>
    </xdr:sp>
    <xdr:clientData/>
  </xdr:twoCellAnchor>
  <xdr:twoCellAnchor>
    <xdr:from>
      <xdr:col>4</xdr:col>
      <xdr:colOff>352178</xdr:colOff>
      <xdr:row>71</xdr:row>
      <xdr:rowOff>99602</xdr:rowOff>
    </xdr:from>
    <xdr:to>
      <xdr:col>4</xdr:col>
      <xdr:colOff>760433</xdr:colOff>
      <xdr:row>71</xdr:row>
      <xdr:rowOff>99602</xdr:rowOff>
    </xdr:to>
    <xdr:sp macro="" textlink="">
      <xdr:nvSpPr>
        <xdr:cNvPr id="4" name="Line 2">
          <a:extLst>
            <a:ext uri="{FF2B5EF4-FFF2-40B4-BE49-F238E27FC236}">
              <a16:creationId xmlns:a16="http://schemas.microsoft.com/office/drawing/2014/main" xmlns="" id="{00000000-0008-0000-0800-000003000000}"/>
            </a:ext>
          </a:extLst>
        </xdr:cNvPr>
        <xdr:cNvSpPr>
          <a:spLocks noChangeShapeType="1"/>
        </xdr:cNvSpPr>
      </xdr:nvSpPr>
      <xdr:spPr bwMode="auto">
        <a:xfrm>
          <a:off x="3438278" y="14615702"/>
          <a:ext cx="408255" cy="0"/>
        </a:xfrm>
        <a:prstGeom prst="line">
          <a:avLst/>
        </a:prstGeom>
        <a:noFill/>
        <a:ln w="9525">
          <a:solidFill>
            <a:srgbClr val="000000"/>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317500</xdr:colOff>
      <xdr:row>128</xdr:row>
      <xdr:rowOff>215900</xdr:rowOff>
    </xdr:from>
    <xdr:to>
      <xdr:col>12</xdr:col>
      <xdr:colOff>25400</xdr:colOff>
      <xdr:row>139</xdr:row>
      <xdr:rowOff>152399</xdr:rowOff>
    </xdr:to>
    <xdr:pic>
      <xdr:nvPicPr>
        <xdr:cNvPr id="11" name="Picture 23">
          <a:extLst>
            <a:ext uri="{FF2B5EF4-FFF2-40B4-BE49-F238E27FC236}">
              <a16:creationId xmlns:a16="http://schemas.microsoft.com/office/drawing/2014/main" xmlns="" id="{00000000-0008-0000-0900-00007DB00000}"/>
            </a:ext>
          </a:extLst>
        </xdr:cNvPr>
        <xdr:cNvPicPr>
          <a:picLocks noRot="1" noChangeAspect="1" noChangeArrowheads="1"/>
        </xdr:cNvPicPr>
      </xdr:nvPicPr>
      <xdr:blipFill>
        <a:blip xmlns:r="http://schemas.openxmlformats.org/officeDocument/2006/relationships" r:embed="rId1" cstate="print"/>
        <a:srcRect r="245"/>
        <a:stretch>
          <a:fillRect/>
        </a:stretch>
      </xdr:blipFill>
      <xdr:spPr bwMode="auto">
        <a:xfrm>
          <a:off x="9334500" y="26390600"/>
          <a:ext cx="4889500" cy="3632199"/>
        </a:xfrm>
        <a:prstGeom prst="rect">
          <a:avLst/>
        </a:prstGeom>
        <a:noFill/>
        <a:ln w="9525">
          <a:noFill/>
          <a:miter lim="800000"/>
          <a:headEnd/>
          <a:tailEnd/>
        </a:ln>
      </xdr:spPr>
    </xdr:pic>
    <xdr:clientData/>
  </xdr:twoCellAnchor>
  <xdr:twoCellAnchor editAs="oneCell">
    <xdr:from>
      <xdr:col>0</xdr:col>
      <xdr:colOff>0</xdr:colOff>
      <xdr:row>126</xdr:row>
      <xdr:rowOff>176893</xdr:rowOff>
    </xdr:from>
    <xdr:to>
      <xdr:col>6</xdr:col>
      <xdr:colOff>27214</xdr:colOff>
      <xdr:row>130</xdr:row>
      <xdr:rowOff>122464</xdr:rowOff>
    </xdr:to>
    <xdr:pic>
      <xdr:nvPicPr>
        <xdr:cNvPr id="12" name="Picture 11" descr="Colour Chart General new copy.jpg"/>
        <xdr:cNvPicPr>
          <a:picLocks noChangeAspect="1"/>
        </xdr:cNvPicPr>
      </xdr:nvPicPr>
      <xdr:blipFill>
        <a:blip xmlns:r="http://schemas.openxmlformats.org/officeDocument/2006/relationships" r:embed="rId2" cstate="print"/>
        <a:stretch>
          <a:fillRect/>
        </a:stretch>
      </xdr:blipFill>
      <xdr:spPr>
        <a:xfrm>
          <a:off x="0" y="26030464"/>
          <a:ext cx="9334500" cy="12654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35379</xdr:colOff>
      <xdr:row>241</xdr:row>
      <xdr:rowOff>26532</xdr:rowOff>
    </xdr:from>
    <xdr:to>
      <xdr:col>18</xdr:col>
      <xdr:colOff>523875</xdr:colOff>
      <xdr:row>280</xdr:row>
      <xdr:rowOff>107155</xdr:rowOff>
    </xdr:to>
    <xdr:sp macro="" textlink="" fLocksText="0">
      <xdr:nvSpPr>
        <xdr:cNvPr id="83337" name="Rectangle 20"/>
        <xdr:cNvSpPr>
          <a:spLocks noChangeArrowheads="1"/>
        </xdr:cNvSpPr>
      </xdr:nvSpPr>
      <xdr:spPr bwMode="auto">
        <a:xfrm>
          <a:off x="106817" y="42877126"/>
          <a:ext cx="11775621" cy="7045779"/>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endParaRPr lang="en-GB" sz="1100" b="0" i="0" u="none" strike="noStrike" baseline="0">
            <a:solidFill>
              <a:srgbClr val="000000"/>
            </a:solidFill>
            <a:latin typeface="Times New Roman"/>
            <a:cs typeface="Times New Roman"/>
          </a:endParaRPr>
        </a:p>
      </xdr:txBody>
    </xdr:sp>
    <xdr:clientData fLocksWithSheet="0"/>
  </xdr:twoCellAnchor>
  <xdr:twoCellAnchor>
    <xdr:from>
      <xdr:col>16</xdr:col>
      <xdr:colOff>38100</xdr:colOff>
      <xdr:row>2</xdr:row>
      <xdr:rowOff>9524</xdr:rowOff>
    </xdr:from>
    <xdr:to>
      <xdr:col>16</xdr:col>
      <xdr:colOff>114300</xdr:colOff>
      <xdr:row>4</xdr:row>
      <xdr:rowOff>5474</xdr:rowOff>
    </xdr:to>
    <xdr:sp macro="" textlink="">
      <xdr:nvSpPr>
        <xdr:cNvPr id="4" name="AutoShape 12"/>
        <xdr:cNvSpPr>
          <a:spLocks/>
        </xdr:cNvSpPr>
      </xdr:nvSpPr>
      <xdr:spPr bwMode="auto">
        <a:xfrm>
          <a:off x="9620250" y="400049"/>
          <a:ext cx="76200" cy="396000"/>
        </a:xfrm>
        <a:prstGeom prst="rightBrace">
          <a:avLst>
            <a:gd name="adj1" fmla="val 39778"/>
            <a:gd name="adj2" fmla="val 50000"/>
          </a:avLst>
        </a:prstGeom>
        <a:no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109117</xdr:colOff>
      <xdr:row>38</xdr:row>
      <xdr:rowOff>18661</xdr:rowOff>
    </xdr:from>
    <xdr:to>
      <xdr:col>9</xdr:col>
      <xdr:colOff>0</xdr:colOff>
      <xdr:row>51</xdr:row>
      <xdr:rowOff>184668</xdr:rowOff>
    </xdr:to>
    <xdr:sp macro="" textlink="">
      <xdr:nvSpPr>
        <xdr:cNvPr id="2" name="TextBox 2">
          <a:extLst>
            <a:ext uri="{FF2B5EF4-FFF2-40B4-BE49-F238E27FC236}">
              <a16:creationId xmlns:a16="http://schemas.microsoft.com/office/drawing/2014/main" xmlns="" id="{37D23896-1D69-485E-96FF-D39C23614836}"/>
            </a:ext>
          </a:extLst>
        </xdr:cNvPr>
        <xdr:cNvSpPr>
          <a:extLst>
            <a:ext uri="smNativeData">
              <pm:smNativeData xmlns="" xmlns:pm="pm" val="SMDATA_11_SWiLXRMAAAAlAAAAZAAAAI0AAAAAOgAAADIAAAAAAAAAA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C4AAAAqAAAAJgAAAAAAAACMAB4ANQAAAAcAAAAAApwDhAAAAHogAADmMAAAJRAAAAAA"/>
            </a:ext>
          </a:extLst>
        </xdr:cNvSpPr>
      </xdr:nvSpPr>
      <xdr:spPr>
        <a:xfrm>
          <a:off x="109117" y="5743186"/>
          <a:ext cx="8015708" cy="2642507"/>
        </a:xfrm>
        <a:prstGeom prst="rect">
          <a:avLst/>
        </a:prstGeom>
        <a:noFill/>
        <a:ln w="9525" cap="flat">
          <a:solidFill>
            <a:srgbClr val="000000"/>
          </a:solidFill>
          <a:prstDash val="solid"/>
          <a:miter lim="800000"/>
          <a:headEnd type="none" w="med" len="med"/>
          <a:tailEnd type="none" w="med" len="med"/>
        </a:ln>
        <a:effectLst/>
      </xdr:spPr>
      <xdr:txBody>
        <a:bodyPr spcFirstLastPara="1" vertOverflow="clip" horzOverflow="clip" wrap="square" lIns="36830" tIns="31750" rIns="0" bIns="0" anchor="t"/>
        <a:lstStyle/>
        <a:p>
          <a:pPr algn="l" defTabSz="360045" rtl="0">
            <a:defRPr sz="1000"/>
          </a:pPr>
          <a:r>
            <a:rPr lang="en-GB" sz="1100" b="0" i="0" u="none" strike="noStrike" kern="100" baseline="0">
              <a:solidFill>
                <a:srgbClr val="000000"/>
              </a:solidFill>
              <a:latin typeface="Calibri" pitchFamily="2" charset="0"/>
              <a:ea typeface="Times New Roman" pitchFamily="1" charset="0"/>
              <a:cs typeface="Times New Roman" pitchFamily="1" charset="0"/>
            </a:rPr>
            <a:t>From using the "YoBrew Wine Calculator" winemakers are able to design wines of a target acidity with a great level of accuracy as long as the acidity of the ingredients is known. When the acidity is not known it can be measured. By carrying out an acidity test titration using a testing kit, the user can measure the acidity of ingredients and enter the resulting value into the "YoBrew Wine Calculator" for that ingredient. Alternatively you can enter a desired acidity level (as % tartaric acid) and measure the acidity of a must or wine. The Acid Calculator will then tell you how much of an acid or alkali needs to be added to obtain your desired level.</a:t>
          </a:r>
        </a:p>
        <a:p>
          <a:pPr algn="l" defTabSz="360045" rtl="0">
            <a:defRPr sz="1000"/>
          </a:pPr>
          <a:endParaRPr/>
        </a:p>
        <a:p>
          <a:pPr algn="l" defTabSz="360045" rtl="0">
            <a:defRPr sz="1000"/>
          </a:pPr>
          <a:r>
            <a:rPr lang="en-GB" sz="1100" b="1" i="0" u="sng" strike="noStrike" kern="100" baseline="0">
              <a:solidFill>
                <a:srgbClr val="000000"/>
              </a:solidFill>
              <a:latin typeface="Calibri" pitchFamily="2" charset="0"/>
              <a:ea typeface="Times New Roman" pitchFamily="1" charset="0"/>
              <a:cs typeface="Times New Roman" pitchFamily="1" charset="0"/>
            </a:rPr>
            <a:t>Using the Acid Check Calculator</a:t>
          </a:r>
        </a:p>
        <a:p>
          <a:pPr algn="l" defTabSz="360045" rtl="0">
            <a:defRPr sz="1000"/>
          </a:pPr>
          <a:endParaRPr/>
        </a:p>
        <a:p>
          <a:pPr algn="l" defTabSz="360045" rtl="0">
            <a:defRPr sz="1000"/>
          </a:pPr>
          <a:r>
            <a:rPr lang="en-GB" sz="1100" b="0" i="0" u="none" strike="noStrike" kern="100" baseline="0">
              <a:solidFill>
                <a:srgbClr val="000000"/>
              </a:solidFill>
              <a:latin typeface="Calibri" pitchFamily="2" charset="0"/>
              <a:ea typeface="Times New Roman" pitchFamily="1" charset="0"/>
              <a:cs typeface="Times New Roman" pitchFamily="1" charset="0"/>
            </a:rPr>
            <a:t>The boxes in yellow are set up to allow the user to insert their own values. The default values are set up to make 4.7L wine, using the Ritchie's Acid Test Kit which comes with a 0.1M concentration sodium hydroxide solution, testing a 5ml sample of must / wine. These values can be amended to suit.</a:t>
          </a:r>
        </a:p>
        <a:p>
          <a:pPr algn="l" defTabSz="360045" rtl="0">
            <a:defRPr sz="1000"/>
          </a:pPr>
          <a:endParaRPr/>
        </a:p>
        <a:p>
          <a:pPr algn="l" defTabSz="360045" rtl="0">
            <a:defRPr sz="1000"/>
          </a:pPr>
          <a:r>
            <a:rPr lang="en-GB" sz="1100" b="0" i="0" u="none" strike="noStrike" kern="100" baseline="0">
              <a:solidFill>
                <a:srgbClr val="000000"/>
              </a:solidFill>
              <a:latin typeface="Calibri" pitchFamily="2" charset="0"/>
              <a:ea typeface="Times New Roman" pitchFamily="1" charset="0"/>
              <a:cs typeface="Times New Roman" pitchFamily="1" charset="0"/>
            </a:rPr>
            <a:t>You also need to insert your desired acidity (as % tartaric) and the volume of sodium hydroxide titrated during your test. Once the above information is entered, the quantities of acid or alkali required to meet your desired acidity will be given.</a:t>
          </a:r>
        </a:p>
      </xdr:txBody>
    </xdr:sp>
    <xdr:clientData/>
  </xdr:twoCellAnchor>
  <xdr:twoCellAnchor>
    <xdr:from>
      <xdr:col>1</xdr:col>
      <xdr:colOff>9720</xdr:colOff>
      <xdr:row>54</xdr:row>
      <xdr:rowOff>8618</xdr:rowOff>
    </xdr:from>
    <xdr:to>
      <xdr:col>9</xdr:col>
      <xdr:colOff>0</xdr:colOff>
      <xdr:row>74</xdr:row>
      <xdr:rowOff>184669</xdr:rowOff>
    </xdr:to>
    <xdr:sp macro="" textlink="">
      <xdr:nvSpPr>
        <xdr:cNvPr id="3" name="Text Box 19">
          <a:extLst>
            <a:ext uri="{FF2B5EF4-FFF2-40B4-BE49-F238E27FC236}">
              <a16:creationId xmlns:a16="http://schemas.microsoft.com/office/drawing/2014/main" xmlns="" id="{60856072-D41D-4729-A3C5-92236C6BD633}"/>
            </a:ext>
          </a:extLst>
        </xdr:cNvPr>
        <xdr:cNvSpPr>
          <a:extLst>
            <a:ext uri="smNativeData">
              <pm:smNativeData xmlns="" xmlns:pm="pm" val="SMDATA_11_SWiLXRMAAAAlAAAAZAAAAI0AAAAAKwAAACQAAAAAAAAAAAAAAAAAAAAAAAAAAAAAAAEAAABQAAAAAAAAAAAA4D8AAAAAAADgPwAAAAAAAOA/AAAAAAAA4D8AAAAAAADgPwAAAAAAAOA/AAAAAAAA4D8AAAAAAADgPwAAAAAAAOA/AAAAAAAA4D8CAAAAjAAAAAEAAAAAAAAA////AAAAAAAAAAAAAAAAAAAAAAAAAAAAAAAAAAAAAAAAAAAAeAAAAAEAAABAAAAAAAAAAAAAAABaAAAAAAAAAAAAAAAAAAAAAAAAAAAAAAAAAAAAAAAAAAAAAAAAAAAAAAAAAAAAAAAAAAAAAAAAAAAAAAAAAAAAAAAAAAAAAAAAAAAAFAAAADwAAAABAAAAAAAAAICAg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C4AAAAqAAAAOAAAAAAAAADpACEAVAAAAAcAAACjAYcDkgAAAHwzAADAMAAAnR0AAAAA"/>
            </a:ext>
          </a:extLst>
        </xdr:cNvSpPr>
      </xdr:nvSpPr>
      <xdr:spPr>
        <a:xfrm>
          <a:off x="124020" y="8781143"/>
          <a:ext cx="8000805" cy="3605051"/>
        </a:xfrm>
        <a:prstGeom prst="rect">
          <a:avLst/>
        </a:prstGeom>
        <a:solidFill>
          <a:srgbClr val="FFFFFF"/>
        </a:solidFill>
        <a:ln w="9525" cap="flat">
          <a:solidFill>
            <a:srgbClr val="808080"/>
          </a:solidFill>
          <a:prstDash val="solid"/>
          <a:miter lim="800000"/>
          <a:headEnd type="none" w="med" len="med"/>
          <a:tailEnd type="none" w="med" len="med"/>
        </a:ln>
        <a:effectLst/>
      </xdr:spPr>
      <xdr:txBody>
        <a:bodyPr spcFirstLastPara="1" vertOverflow="clip" horzOverflow="clip" wrap="square" lIns="27305" tIns="22860" rIns="0" bIns="0" anchor="t"/>
        <a:lstStyle/>
        <a:p>
          <a:pPr algn="l" defTabSz="360045" rtl="0">
            <a:defRPr sz="1000"/>
          </a:pPr>
          <a:endParaRPr/>
        </a:p>
        <a:p>
          <a:pPr algn="l" defTabSz="360045" rtl="0">
            <a:defRPr sz="1000"/>
          </a:pPr>
          <a:endParaRPr/>
        </a:p>
        <a:p>
          <a:pPr algn="l" defTabSz="360045" rtl="0">
            <a:defRPr sz="1000"/>
          </a:pPr>
          <a:endParaRPr/>
        </a:p>
      </xdr:txBody>
    </xdr:sp>
    <xdr:clientData/>
  </xdr:twoCellAnchor>
  <xdr:twoCellAnchor>
    <xdr:from>
      <xdr:col>3</xdr:col>
      <xdr:colOff>479230</xdr:colOff>
      <xdr:row>10</xdr:row>
      <xdr:rowOff>46264</xdr:rowOff>
    </xdr:from>
    <xdr:to>
      <xdr:col>8</xdr:col>
      <xdr:colOff>355600</xdr:colOff>
      <xdr:row>33</xdr:row>
      <xdr:rowOff>152400</xdr:rowOff>
    </xdr:to>
    <xdr:pic>
      <xdr:nvPicPr>
        <xdr:cNvPr id="4" name="Picture 7" descr="acid_test_2">
          <a:extLst>
            <a:ext uri="{FF2B5EF4-FFF2-40B4-BE49-F238E27FC236}">
              <a16:creationId xmlns:a16="http://schemas.microsoft.com/office/drawing/2014/main" xmlns="" id="{12A58A23-CDE5-4235-A0FA-0AF68706B540}"/>
            </a:ext>
          </a:extLst>
        </xdr:cNvPr>
        <xdr:cNvPicPr>
          <a:picLocks noChangeAspect="1"/>
          <a:extLst>
            <a:ext uri="smNativeData">
              <pm:smNativeData xmlns="" xmlns:pm="pm" val="SMDATA_12_SWiLXRMAAAAlAAAAEQAAAK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XAAAAFAAAAAAAAAAAAAAA/38AAP9/AAAAAAAACQAAAAQAAADGo5rHDAAAABAAAAAAAAAAAAAAAAAAAAAAAAAAHgAAAGgAAAAAAAAAAAAAAAAAAAAAAAAAAAAAABAnAAAQJwAAAAAAAAAAAAAAAAAAAAAAAAAAAAAAAAAAAAAAAAAAAAAUAAAAAAAAAMDA/wAAAAAAZAAAADIAAAAAAAAAZAAAAAAAAAB/f38ACgAAACEAAAAuAAAAKgAAAAsAAAACAAAARgFoAhwAAAAFAAAAugJyAicZAAC/DQAAjQ0AAMkIAAAAAA=="/>
            </a:ext>
          </a:extLst>
        </xdr:cNvPicPr>
      </xdr:nvPicPr>
      <xdr:blipFill>
        <a:blip xmlns:r="http://schemas.openxmlformats.org/officeDocument/2006/relationships" r:embed="rId1" cstate="print"/>
        <a:stretch>
          <a:fillRect/>
        </a:stretch>
      </xdr:blipFill>
      <xdr:spPr>
        <a:xfrm>
          <a:off x="4213030" y="2154464"/>
          <a:ext cx="4321370" cy="2773136"/>
        </a:xfrm>
        <a:prstGeom prst="rect">
          <a:avLst/>
        </a:prstGeom>
        <a:noFill/>
        <a:ln w="12700" cap="flat">
          <a:noFill/>
          <a:prstDash val="solid"/>
          <a:miter lim="800000"/>
          <a:headEnd type="none" w="med" len="me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365760</xdr:colOff>
      <xdr:row>14</xdr:row>
      <xdr:rowOff>172720</xdr:rowOff>
    </xdr:from>
    <xdr:to>
      <xdr:col>9</xdr:col>
      <xdr:colOff>441960</xdr:colOff>
      <xdr:row>16</xdr:row>
      <xdr:rowOff>172720</xdr:rowOff>
    </xdr:to>
    <xdr:sp macro="" textlink="">
      <xdr:nvSpPr>
        <xdr:cNvPr id="89408" name="AutoShape 12"/>
        <xdr:cNvSpPr>
          <a:spLocks/>
        </xdr:cNvSpPr>
      </xdr:nvSpPr>
      <xdr:spPr bwMode="auto">
        <a:xfrm>
          <a:off x="6131560" y="2700020"/>
          <a:ext cx="76200" cy="355600"/>
        </a:xfrm>
        <a:prstGeom prst="rightBrace">
          <a:avLst>
            <a:gd name="adj1" fmla="val 39778"/>
            <a:gd name="adj2" fmla="val 50000"/>
          </a:avLst>
        </a:prstGeom>
        <a:noFill/>
        <a:ln w="9525">
          <a:solidFill>
            <a:srgbClr val="000000"/>
          </a:solidFill>
          <a:round/>
          <a:headEnd/>
          <a:tailEnd/>
        </a:ln>
      </xdr:spPr>
    </xdr:sp>
    <xdr:clientData/>
  </xdr:twoCellAnchor>
  <xdr:twoCellAnchor>
    <xdr:from>
      <xdr:col>8</xdr:col>
      <xdr:colOff>382005</xdr:colOff>
      <xdr:row>11</xdr:row>
      <xdr:rowOff>30173</xdr:rowOff>
    </xdr:from>
    <xdr:to>
      <xdr:col>8</xdr:col>
      <xdr:colOff>456781</xdr:colOff>
      <xdr:row>13</xdr:row>
      <xdr:rowOff>162253</xdr:rowOff>
    </xdr:to>
    <xdr:sp macro="" textlink="">
      <xdr:nvSpPr>
        <xdr:cNvPr id="89409" name="AutoShape 23"/>
        <xdr:cNvSpPr>
          <a:spLocks/>
        </xdr:cNvSpPr>
      </xdr:nvSpPr>
      <xdr:spPr bwMode="auto">
        <a:xfrm>
          <a:off x="5678324" y="1966574"/>
          <a:ext cx="74776" cy="467025"/>
        </a:xfrm>
        <a:prstGeom prst="rightBrace">
          <a:avLst>
            <a:gd name="adj1" fmla="val 48699"/>
            <a:gd name="adj2" fmla="val 47370"/>
          </a:avLst>
        </a:prstGeom>
        <a:noFill/>
        <a:ln w="9525">
          <a:solidFill>
            <a:srgbClr val="000000"/>
          </a:solidFill>
          <a:round/>
          <a:headEnd/>
          <a:tailEnd/>
        </a:ln>
      </xdr:spPr>
    </xdr:sp>
    <xdr:clientData/>
  </xdr:twoCellAnchor>
  <xdr:twoCellAnchor>
    <xdr:from>
      <xdr:col>16</xdr:col>
      <xdr:colOff>45720</xdr:colOff>
      <xdr:row>20</xdr:row>
      <xdr:rowOff>0</xdr:rowOff>
    </xdr:from>
    <xdr:to>
      <xdr:col>18</xdr:col>
      <xdr:colOff>1516380</xdr:colOff>
      <xdr:row>83</xdr:row>
      <xdr:rowOff>162560</xdr:rowOff>
    </xdr:to>
    <xdr:sp macro="" textlink="">
      <xdr:nvSpPr>
        <xdr:cNvPr id="89091" name="Text Box 4"/>
        <xdr:cNvSpPr txBox="1">
          <a:spLocks noChangeArrowheads="1"/>
        </xdr:cNvSpPr>
      </xdr:nvSpPr>
      <xdr:spPr bwMode="auto">
        <a:xfrm>
          <a:off x="7137400" y="3403600"/>
          <a:ext cx="4945380" cy="1104392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50" b="1" i="0" u="sng" strike="noStrike" baseline="0">
              <a:solidFill>
                <a:srgbClr val="000000"/>
              </a:solidFill>
              <a:latin typeface="Times New Roman"/>
              <a:cs typeface="Times New Roman"/>
            </a:rPr>
            <a:t>GENERAL NOTES</a:t>
          </a:r>
          <a:endParaRPr lang="en-GB" sz="1050" b="0" i="0" u="none" strike="noStrike" baseline="0">
            <a:solidFill>
              <a:srgbClr val="000000"/>
            </a:solidFill>
            <a:latin typeface="Times New Roman"/>
            <a:cs typeface="Times New Roman"/>
          </a:endParaRP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The </a:t>
          </a:r>
          <a:r>
            <a:rPr lang="en-GB" sz="1050" b="1" i="0" u="none" strike="noStrike" baseline="0">
              <a:solidFill>
                <a:srgbClr val="000000"/>
              </a:solidFill>
              <a:latin typeface="Times New Roman"/>
              <a:cs typeface="Times New Roman"/>
            </a:rPr>
            <a:t>"Stone Factor"</a:t>
          </a:r>
          <a:r>
            <a:rPr lang="en-GB" sz="1050" b="0" i="0" u="none" strike="noStrike" baseline="0">
              <a:solidFill>
                <a:srgbClr val="000000"/>
              </a:solidFill>
              <a:latin typeface="Times New Roman"/>
              <a:cs typeface="Times New Roman"/>
            </a:rPr>
            <a:t> provides the </a:t>
          </a:r>
          <a:r>
            <a:rPr lang="en-GB" sz="1050" b="1" i="0" u="none" strike="noStrike" baseline="0">
              <a:solidFill>
                <a:srgbClr val="000000"/>
              </a:solidFill>
              <a:latin typeface="Times New Roman"/>
              <a:cs typeface="Times New Roman"/>
            </a:rPr>
            <a:t>"Useable Wt"</a:t>
          </a:r>
          <a:r>
            <a:rPr lang="en-GB" sz="1050" b="0" i="0" u="none" strike="noStrike" baseline="0">
              <a:solidFill>
                <a:srgbClr val="000000"/>
              </a:solidFill>
              <a:latin typeface="Times New Roman"/>
              <a:cs typeface="Times New Roman"/>
            </a:rPr>
            <a:t> of fruit flesh, this allows for stoned fruits &amp; apples/pears being peeled &amp; cores etc. It is not normally necessary to remove stones prior to making jam, just slice difficult fruit to allow the stones to be freed during boiling. Some fruits such as apricots, can be enhanced by cracking a few of the stones &amp; adding the kernels to the boil.</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The </a:t>
          </a:r>
          <a:r>
            <a:rPr lang="en-GB" sz="1050" b="1" i="0" u="none" strike="noStrike" baseline="0">
              <a:solidFill>
                <a:srgbClr val="000000"/>
              </a:solidFill>
              <a:latin typeface="Times New Roman"/>
              <a:cs typeface="Times New Roman"/>
            </a:rPr>
            <a:t>"Water Factor"</a:t>
          </a:r>
          <a:r>
            <a:rPr lang="en-GB" sz="1050" b="0" i="0" u="none" strike="noStrike" baseline="0">
              <a:solidFill>
                <a:srgbClr val="000000"/>
              </a:solidFill>
              <a:latin typeface="Times New Roman"/>
              <a:cs typeface="Times New Roman"/>
            </a:rPr>
            <a:t> is the amount of water to be added to the fruit.</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The </a:t>
          </a:r>
          <a:r>
            <a:rPr lang="en-GB" sz="1050" b="1" i="0" u="none" strike="noStrike" baseline="0">
              <a:solidFill>
                <a:srgbClr val="000000"/>
              </a:solidFill>
              <a:latin typeface="Times New Roman"/>
              <a:cs typeface="Times New Roman"/>
            </a:rPr>
            <a:t>"Sugar Factor"</a:t>
          </a:r>
          <a:r>
            <a:rPr lang="en-GB" sz="1050" b="0" i="0" u="none" strike="noStrike" baseline="0">
              <a:solidFill>
                <a:srgbClr val="000000"/>
              </a:solidFill>
              <a:latin typeface="Times New Roman"/>
              <a:cs typeface="Times New Roman"/>
            </a:rPr>
            <a:t> determines the weight of sugar to be added.</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1" i="0" u="none" strike="noStrike" baseline="0">
              <a:solidFill>
                <a:srgbClr val="000000"/>
              </a:solidFill>
              <a:latin typeface="Times New Roman"/>
              <a:cs typeface="Times New Roman"/>
            </a:rPr>
            <a:t>Quantities quoted are by no means critical!</a:t>
          </a: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 </a:t>
          </a:r>
        </a:p>
        <a:p>
          <a:pPr algn="l" rtl="0">
            <a:defRPr sz="1000"/>
          </a:pPr>
          <a:r>
            <a:rPr lang="en-GB" sz="1050" b="0" i="0" u="none" strike="noStrike" baseline="0">
              <a:solidFill>
                <a:srgbClr val="000000"/>
              </a:solidFill>
              <a:latin typeface="Times New Roman"/>
              <a:cs typeface="Times New Roman"/>
            </a:rPr>
            <a:t>Paradoxically, pectin, the wine-makers enemy, is the jam-makers best friend. Under-ripe fruits have more pectin than ripe hence more sugar can be added, slightly more water may also be required.</a:t>
          </a:r>
        </a:p>
        <a:p>
          <a:pPr algn="l" rtl="0">
            <a:defRPr sz="1000"/>
          </a:pPr>
          <a:r>
            <a:rPr lang="en-GB" sz="1050" b="0" i="0" u="none" strike="noStrike" baseline="0">
              <a:solidFill>
                <a:srgbClr val="000000"/>
              </a:solidFill>
              <a:latin typeface="Times New Roman"/>
              <a:cs typeface="Times New Roman"/>
            </a:rPr>
            <a:t> </a:t>
          </a:r>
        </a:p>
        <a:p>
          <a:pPr algn="l" rtl="0">
            <a:defRPr sz="1000"/>
          </a:pPr>
          <a:r>
            <a:rPr lang="en-GB" sz="1050" b="0" i="0" u="none" strike="noStrike" baseline="0">
              <a:solidFill>
                <a:srgbClr val="000000"/>
              </a:solidFill>
              <a:latin typeface="Times New Roman"/>
              <a:cs typeface="Times New Roman"/>
            </a:rPr>
            <a:t>High pectin/setting fruits, these can be used singly or combined with lower pectin content fruits include:-</a:t>
          </a:r>
        </a:p>
        <a:p>
          <a:pPr algn="l" rtl="0">
            <a:defRPr sz="1000"/>
          </a:pPr>
          <a:r>
            <a:rPr lang="en-GB" sz="1050" b="0" i="0" u="none" strike="noStrike" baseline="0">
              <a:solidFill>
                <a:srgbClr val="000000"/>
              </a:solidFill>
              <a:latin typeface="Times New Roman"/>
              <a:cs typeface="Times New Roman"/>
            </a:rPr>
            <a:t>Cooking &amp; crab apples, blackcurrants, damsons, gooseberries, lemons, plums and redcurrants.</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Medium pectin/setting fruits:-</a:t>
          </a:r>
        </a:p>
        <a:p>
          <a:pPr algn="l" rtl="0">
            <a:defRPr sz="1000"/>
          </a:pPr>
          <a:r>
            <a:rPr lang="en-GB" sz="1050" b="0" i="0" u="none" strike="noStrike" baseline="0">
              <a:solidFill>
                <a:srgbClr val="000000"/>
              </a:solidFill>
              <a:latin typeface="Times New Roman"/>
              <a:cs typeface="Times New Roman"/>
            </a:rPr>
            <a:t>Apricots, blackberries, raspberries, and loganberries.</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Low pectin/setting fruits:-</a:t>
          </a:r>
        </a:p>
        <a:p>
          <a:pPr algn="l" rtl="0">
            <a:defRPr sz="1000"/>
          </a:pPr>
          <a:r>
            <a:rPr lang="en-GB" sz="1050" b="0" i="0" u="none" strike="noStrike" baseline="0">
              <a:solidFill>
                <a:srgbClr val="000000"/>
              </a:solidFill>
              <a:latin typeface="Times New Roman"/>
              <a:cs typeface="Times New Roman"/>
            </a:rPr>
            <a:t>Cherries and strawberries.</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Water quantities are not critical, if insufficient is initially used you can always add more, any excess will be "reduced" or boiled off.</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The  </a:t>
          </a:r>
          <a:r>
            <a:rPr lang="en-GB" sz="1050" b="1" i="0" u="none" strike="noStrike" baseline="0">
              <a:solidFill>
                <a:srgbClr val="000000"/>
              </a:solidFill>
              <a:latin typeface="Times New Roman"/>
              <a:cs typeface="Times New Roman"/>
            </a:rPr>
            <a:t>"TOTAL ACID"</a:t>
          </a:r>
          <a:r>
            <a:rPr lang="en-GB" sz="1050" b="0" i="0" u="none" strike="noStrike" baseline="0">
              <a:solidFill>
                <a:srgbClr val="000000"/>
              </a:solidFill>
              <a:latin typeface="Times New Roman"/>
              <a:cs typeface="Times New Roman"/>
            </a:rPr>
            <a:t> &amp; </a:t>
          </a:r>
          <a:r>
            <a:rPr lang="en-GB" sz="1050" b="1" i="0" u="none" strike="noStrike" baseline="0">
              <a:solidFill>
                <a:srgbClr val="000000"/>
              </a:solidFill>
              <a:latin typeface="Times New Roman"/>
              <a:cs typeface="Times New Roman"/>
            </a:rPr>
            <a:t>"TOTAL PECTIN"</a:t>
          </a:r>
          <a:r>
            <a:rPr lang="en-GB" sz="1050" b="0" i="0" u="none" strike="noStrike" baseline="0">
              <a:solidFill>
                <a:srgbClr val="000000"/>
              </a:solidFill>
              <a:latin typeface="Times New Roman"/>
              <a:cs typeface="Times New Roman"/>
            </a:rPr>
            <a:t> content i.e. "High" is an indicator of the jam's setting quality.</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1" i="0" u="none" strike="noStrike" baseline="0">
              <a:solidFill>
                <a:srgbClr val="000000"/>
              </a:solidFill>
              <a:latin typeface="Times New Roman"/>
              <a:cs typeface="Times New Roman"/>
            </a:rPr>
            <a:t>Example - Damson Wine</a:t>
          </a: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Wash the fruit, discarding any bad bits &amp; note the weight, "halve" the fruit &amp; remove any loose stones. For every 500g ripe fruit add about 70ml water in a stainless steel pan (aluminium is not recommended as it can react with the acid &amp; cause harmful compounds) &amp; weigh out about 570g of sugar in a bowl, this may be pre-heated in a low oven (Gas mark 1/4, 110°C). The clean jam jars may be placed in the coolest part of the oven.</a:t>
          </a:r>
        </a:p>
        <a:p>
          <a:pPr algn="l" rtl="0">
            <a:defRPr sz="1000"/>
          </a:pPr>
          <a:r>
            <a:rPr lang="en-GB" sz="1050" b="0" i="0" u="none" strike="noStrike" baseline="0">
              <a:solidFill>
                <a:srgbClr val="000000"/>
              </a:solidFill>
              <a:latin typeface="Times New Roman"/>
              <a:cs typeface="Times New Roman"/>
            </a:rPr>
            <a:t>Simmer gently, stirring from time to time to prevent sticking &amp; burning, until the fruit &amp; skins are nice &amp; tender.</a:t>
          </a:r>
        </a:p>
        <a:p>
          <a:pPr algn="l" rtl="0">
            <a:defRPr sz="1000"/>
          </a:pPr>
          <a:r>
            <a:rPr lang="en-GB" sz="1050" b="0" i="0" u="none" strike="noStrike" baseline="0">
              <a:solidFill>
                <a:srgbClr val="000000"/>
              </a:solidFill>
              <a:latin typeface="Times New Roman"/>
              <a:cs typeface="Times New Roman"/>
            </a:rPr>
            <a:t>Turn the pan heat to a minimum &amp; gradually stir in the sugar, when this is dissolved bring the pan contents to a boil then boil rapidly until the "setting point" is reached, taking care not to burn the jam at the bottom of the pan, this problem can be reduced by making smaller quantities. Stirring is not required at this stage but any stones that rise to the surface can be carefully removed.</a:t>
          </a:r>
        </a:p>
        <a:p>
          <a:pPr algn="l" rtl="0">
            <a:defRPr sz="1000"/>
          </a:pPr>
          <a:r>
            <a:rPr lang="en-GB" sz="1050" b="0" i="0" u="none" strike="noStrike" baseline="0">
              <a:solidFill>
                <a:srgbClr val="000000"/>
              </a:solidFill>
              <a:latin typeface="Times New Roman"/>
              <a:cs typeface="Times New Roman"/>
            </a:rPr>
            <a:t>Allow to cool for 10-15 minutes before pouring into the jars, fill them to at least a centimetre from the top, this helps prevent moulds etc. forming. High sugar jams can be kept for up to a year, low sugar for only a few months. All should be eaten within a few weeks of opening.</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The "setting point" occurs at about 105°C (220°F), test every 4 or 5 minutes. If you don't have a jam thermometer, take a sample of the jam with a clean wooden spoon, hold above the pan for about 5 seconds to cool slightly then tip it, allowing the jam to return to the pan. When "set" the jam will "flake" off the spoon rather than drip off. Be careful not to over-boil as the jam will then never set.</a:t>
          </a:r>
        </a:p>
        <a:p>
          <a:pPr algn="l" rtl="0">
            <a:defRPr sz="1000"/>
          </a:pPr>
          <a:endParaRPr lang="en-GB" sz="1050" b="0" i="0" u="none" strike="noStrike" baseline="0">
            <a:solidFill>
              <a:srgbClr val="000000"/>
            </a:solidFill>
            <a:latin typeface="Times New Roman"/>
            <a:cs typeface="Times New Roman"/>
          </a:endParaRPr>
        </a:p>
        <a:p>
          <a:pPr algn="l" rtl="0">
            <a:defRPr sz="1000"/>
          </a:pPr>
          <a:r>
            <a:rPr lang="en-GB" sz="1050" b="0" i="0" u="none" strike="noStrike" baseline="0">
              <a:solidFill>
                <a:srgbClr val="000000"/>
              </a:solidFill>
              <a:latin typeface="Times New Roman"/>
              <a:cs typeface="Times New Roman"/>
            </a:rPr>
            <a:t>An alternative test is to drop a small amount of jam onto a clean plate, just removed from a refrigerator. Leave to cool for half to one minute before "pushing" the jam with a finger. If the jam has a skin that wrinkles, the jam has set, to prevent over-boiling, reduce the pan heat to a minimum during this test, if the jam stays runny and no skin is present, boil for a little longer before re-testing.</a:t>
          </a:r>
        </a:p>
      </xdr:txBody>
    </xdr:sp>
    <xdr:clientData/>
  </xdr:twoCellAnchor>
  <xdr:twoCellAnchor>
    <xdr:from>
      <xdr:col>0</xdr:col>
      <xdr:colOff>30480</xdr:colOff>
      <xdr:row>88</xdr:row>
      <xdr:rowOff>0</xdr:rowOff>
    </xdr:from>
    <xdr:to>
      <xdr:col>18</xdr:col>
      <xdr:colOff>1497330</xdr:colOff>
      <xdr:row>106</xdr:row>
      <xdr:rowOff>7620</xdr:rowOff>
    </xdr:to>
    <xdr:sp macro="" textlink="">
      <xdr:nvSpPr>
        <xdr:cNvPr id="89411" name="Text Box 19"/>
        <xdr:cNvSpPr txBox="1">
          <a:spLocks noChangeArrowheads="1"/>
        </xdr:cNvSpPr>
      </xdr:nvSpPr>
      <xdr:spPr bwMode="auto">
        <a:xfrm>
          <a:off x="30480" y="15608300"/>
          <a:ext cx="12071350" cy="3284220"/>
        </a:xfrm>
        <a:prstGeom prst="rect">
          <a:avLst/>
        </a:prstGeom>
        <a:solidFill>
          <a:srgbClr val="FFFFFF"/>
        </a:solidFill>
        <a:ln w="9525">
          <a:solidFill>
            <a:srgbClr val="808080"/>
          </a:solidFill>
          <a:miter lim="800000"/>
          <a:headEnd/>
          <a:tailEnd/>
        </a:ln>
      </xdr:spPr>
      <xdr:txBody>
        <a:bodyPr/>
        <a:lstStyle/>
        <a:p>
          <a:endParaRPr lang="en-GB"/>
        </a:p>
      </xdr:txBody>
    </xdr:sp>
    <xdr:clientData/>
  </xdr:twoCellAnchor>
  <xdr:twoCellAnchor editAs="oneCell">
    <xdr:from>
      <xdr:col>17</xdr:col>
      <xdr:colOff>1482725</xdr:colOff>
      <xdr:row>3</xdr:row>
      <xdr:rowOff>15638</xdr:rowOff>
    </xdr:from>
    <xdr:to>
      <xdr:col>18</xdr:col>
      <xdr:colOff>1495641</xdr:colOff>
      <xdr:row>15</xdr:row>
      <xdr:rowOff>9525</xdr:rowOff>
    </xdr:to>
    <xdr:pic>
      <xdr:nvPicPr>
        <xdr:cNvPr id="6" name="Picture 209" descr="Image result for homemade strawberry jam"/>
        <xdr:cNvPicPr>
          <a:picLocks noChangeAspect="1" noChangeArrowheads="1"/>
        </xdr:cNvPicPr>
      </xdr:nvPicPr>
      <xdr:blipFill>
        <a:blip xmlns:r="http://schemas.openxmlformats.org/officeDocument/2006/relationships" r:embed="rId1" cstate="print"/>
        <a:srcRect l="7335" t="9862" r="6944" b="6891"/>
        <a:stretch>
          <a:fillRect/>
        </a:stretch>
      </xdr:blipFill>
      <xdr:spPr bwMode="auto">
        <a:xfrm>
          <a:off x="9432925" y="663338"/>
          <a:ext cx="2781516" cy="203858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vid.barrow@live.co.uk" TargetMode="External"/><Relationship Id="rId2" Type="http://schemas.openxmlformats.org/officeDocument/2006/relationships/hyperlink" Target="http://www.yobrew.co.uk/" TargetMode="External"/><Relationship Id="rId1" Type="http://schemas.openxmlformats.org/officeDocument/2006/relationships/hyperlink" Target="http://www.petespintpot.co.u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yobrew.co.uk/" TargetMode="External"/><Relationship Id="rId2" Type="http://schemas.openxmlformats.org/officeDocument/2006/relationships/hyperlink" Target="http://www.yobrew.co.uk/" TargetMode="External"/><Relationship Id="rId1" Type="http://schemas.openxmlformats.org/officeDocument/2006/relationships/hyperlink" Target="http://www.petespintpot.co.uk/" TargetMode="External"/><Relationship Id="rId5" Type="http://schemas.openxmlformats.org/officeDocument/2006/relationships/drawing" Target="../drawings/drawing9.xm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mailto:david.barrow@live.co.uk" TargetMode="External"/><Relationship Id="rId13" Type="http://schemas.openxmlformats.org/officeDocument/2006/relationships/hyperlink" Target="mailto:david.barrow@live.co.uk" TargetMode="External"/><Relationship Id="rId18" Type="http://schemas.openxmlformats.org/officeDocument/2006/relationships/printerSettings" Target="../printerSettings/printerSettings2.bin"/><Relationship Id="rId3" Type="http://schemas.openxmlformats.org/officeDocument/2006/relationships/hyperlink" Target="http://www.petespintpot.co.uk/" TargetMode="External"/><Relationship Id="rId7" Type="http://schemas.openxmlformats.org/officeDocument/2006/relationships/hyperlink" Target="http://www.signaturewinesofohio.com/" TargetMode="External"/><Relationship Id="rId12" Type="http://schemas.openxmlformats.org/officeDocument/2006/relationships/hyperlink" Target="http://www.petespintpot.co.uk/" TargetMode="External"/><Relationship Id="rId17" Type="http://schemas.openxmlformats.org/officeDocument/2006/relationships/hyperlink" Target="http://www.yobrew.co.uk/" TargetMode="External"/><Relationship Id="rId2" Type="http://schemas.openxmlformats.org/officeDocument/2006/relationships/hyperlink" Target="mailto:david.barrow@live.co.uk" TargetMode="External"/><Relationship Id="rId16" Type="http://schemas.openxmlformats.org/officeDocument/2006/relationships/hyperlink" Target="http://www.petespintpot.co.uk/diabetic.html" TargetMode="External"/><Relationship Id="rId1" Type="http://schemas.openxmlformats.org/officeDocument/2006/relationships/hyperlink" Target="http://www.petespintpot.co.uk/" TargetMode="External"/><Relationship Id="rId6" Type="http://schemas.openxmlformats.org/officeDocument/2006/relationships/hyperlink" Target="http://www.yobrew.co.uk/" TargetMode="External"/><Relationship Id="rId11" Type="http://schemas.openxmlformats.org/officeDocument/2006/relationships/hyperlink" Target="http://www.yobrew.co.uk/" TargetMode="External"/><Relationship Id="rId5" Type="http://schemas.openxmlformats.org/officeDocument/2006/relationships/hyperlink" Target="http://www.petespintpot.co.uk/" TargetMode="External"/><Relationship Id="rId15" Type="http://schemas.openxmlformats.org/officeDocument/2006/relationships/hyperlink" Target="http://www.petespintpot.co.uk/health.html" TargetMode="External"/><Relationship Id="rId10" Type="http://schemas.openxmlformats.org/officeDocument/2006/relationships/hyperlink" Target="http://www.yobrew.co.uk/" TargetMode="External"/><Relationship Id="rId19" Type="http://schemas.openxmlformats.org/officeDocument/2006/relationships/drawing" Target="../drawings/drawing1.xml"/><Relationship Id="rId4" Type="http://schemas.openxmlformats.org/officeDocument/2006/relationships/hyperlink" Target="mailto:david.barrow@live.co.uk" TargetMode="External"/><Relationship Id="rId9" Type="http://schemas.openxmlformats.org/officeDocument/2006/relationships/hyperlink" Target="mailto:david.barrow@live.co.uk" TargetMode="External"/><Relationship Id="rId14" Type="http://schemas.openxmlformats.org/officeDocument/2006/relationships/hyperlink" Target="http://www.petespintpot.co.uk/index.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petespintpot.co.uk/" TargetMode="External"/><Relationship Id="rId3" Type="http://schemas.openxmlformats.org/officeDocument/2006/relationships/hyperlink" Target="http://www.colchesterhomebrew.co.uk/" TargetMode="External"/><Relationship Id="rId7" Type="http://schemas.openxmlformats.org/officeDocument/2006/relationships/hyperlink" Target="http://www.petespintpot.co.uk/" TargetMode="External"/><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hyperlink" Target="http://www.petespintpot.co.uk/" TargetMode="External"/><Relationship Id="rId11" Type="http://schemas.openxmlformats.org/officeDocument/2006/relationships/drawing" Target="../drawings/drawing2.xml"/><Relationship Id="rId5" Type="http://schemas.openxmlformats.org/officeDocument/2006/relationships/hyperlink" Target="http://www.yobrew.co.uk/" TargetMode="External"/><Relationship Id="rId10" Type="http://schemas.openxmlformats.org/officeDocument/2006/relationships/printerSettings" Target="../printerSettings/printerSettings3.bin"/><Relationship Id="rId4" Type="http://schemas.openxmlformats.org/officeDocument/2006/relationships/hyperlink" Target="mailto:david.barrow@live.co.uk" TargetMode="External"/><Relationship Id="rId9" Type="http://schemas.openxmlformats.org/officeDocument/2006/relationships/hyperlink" Target="http://www.yobrew.co.uk/"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byo.com/" TargetMode="External"/><Relationship Id="rId3" Type="http://schemas.openxmlformats.org/officeDocument/2006/relationships/hyperlink" Target="mailto:david.barrow@live.co.uk" TargetMode="External"/><Relationship Id="rId7" Type="http://schemas.openxmlformats.org/officeDocument/2006/relationships/hyperlink" Target="http://www.petespintpot.co.uk/" TargetMode="External"/><Relationship Id="rId2" Type="http://schemas.openxmlformats.org/officeDocument/2006/relationships/hyperlink" Target="http://www.petespintpot.co.uk/" TargetMode="External"/><Relationship Id="rId1" Type="http://schemas.openxmlformats.org/officeDocument/2006/relationships/hyperlink" Target="http://www.yobrew.co.uk/" TargetMode="External"/><Relationship Id="rId6" Type="http://schemas.openxmlformats.org/officeDocument/2006/relationships/hyperlink" Target="http://www.petespintpot.co.uk/" TargetMode="External"/><Relationship Id="rId5" Type="http://schemas.openxmlformats.org/officeDocument/2006/relationships/hyperlink" Target="http://www.petespintpot.co.uk/" TargetMode="External"/><Relationship Id="rId10" Type="http://schemas.openxmlformats.org/officeDocument/2006/relationships/drawing" Target="../drawings/drawing3.xml"/><Relationship Id="rId4" Type="http://schemas.openxmlformats.org/officeDocument/2006/relationships/hyperlink" Target="http://www.colchesterhomebrew.co.uk/"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petespintpot.co.uk/" TargetMode="External"/><Relationship Id="rId13" Type="http://schemas.openxmlformats.org/officeDocument/2006/relationships/hyperlink" Target="http://www.yobrew.co.uk/" TargetMode="External"/><Relationship Id="rId18" Type="http://schemas.openxmlformats.org/officeDocument/2006/relationships/hyperlink" Target="http://www.yobrew.co.uk/" TargetMode="External"/><Relationship Id="rId3" Type="http://schemas.openxmlformats.org/officeDocument/2006/relationships/hyperlink" Target="http://www.petespintpot.co.uk/" TargetMode="External"/><Relationship Id="rId21" Type="http://schemas.openxmlformats.org/officeDocument/2006/relationships/printerSettings" Target="../printerSettings/printerSettings5.bin"/><Relationship Id="rId7" Type="http://schemas.openxmlformats.org/officeDocument/2006/relationships/hyperlink" Target="http://www.petespintpot.co.uk/" TargetMode="External"/><Relationship Id="rId12" Type="http://schemas.openxmlformats.org/officeDocument/2006/relationships/hyperlink" Target="http://www.colchesterhomebrew.co.uk/" TargetMode="External"/><Relationship Id="rId17" Type="http://schemas.openxmlformats.org/officeDocument/2006/relationships/hyperlink" Target="http://www.yobrew.co.uk/" TargetMode="External"/><Relationship Id="rId2" Type="http://schemas.openxmlformats.org/officeDocument/2006/relationships/hyperlink" Target="mailto:david.barrow@live.co.uk" TargetMode="External"/><Relationship Id="rId16" Type="http://schemas.openxmlformats.org/officeDocument/2006/relationships/hyperlink" Target="http://www.colchesterhomebrew.co.uk/" TargetMode="External"/><Relationship Id="rId20"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6" Type="http://schemas.openxmlformats.org/officeDocument/2006/relationships/hyperlink" Target="http://www.yobrew.co.uk/" TargetMode="External"/><Relationship Id="rId11" Type="http://schemas.openxmlformats.org/officeDocument/2006/relationships/hyperlink" Target="http://www.petespintpot.co.uk/" TargetMode="External"/><Relationship Id="rId5" Type="http://schemas.openxmlformats.org/officeDocument/2006/relationships/hyperlink" Target="http://www.yobrew.co.uk/" TargetMode="External"/><Relationship Id="rId15" Type="http://schemas.openxmlformats.org/officeDocument/2006/relationships/hyperlink" Target="http://www.petespintpot.co.uk/" TargetMode="External"/><Relationship Id="rId10" Type="http://schemas.openxmlformats.org/officeDocument/2006/relationships/hyperlink" Target="http://www.yobrew.co.uk/" TargetMode="External"/><Relationship Id="rId19" Type="http://schemas.openxmlformats.org/officeDocument/2006/relationships/hyperlink" Target="http://www.yobrew.co.uk/" TargetMode="External"/><Relationship Id="rId4" Type="http://schemas.openxmlformats.org/officeDocument/2006/relationships/hyperlink" Target="http://www.colchesterhomebrew.co.uk/" TargetMode="External"/><Relationship Id="rId9" Type="http://schemas.openxmlformats.org/officeDocument/2006/relationships/hyperlink" Target="mailto:david.barrow@live.co.uk" TargetMode="External"/><Relationship Id="rId14" Type="http://schemas.openxmlformats.org/officeDocument/2006/relationships/hyperlink" Target="http://www.yobrew.co.uk/" TargetMode="External"/><Relationship Id="rId2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etespintpot.co.uk/" TargetMode="External"/><Relationship Id="rId1" Type="http://schemas.openxmlformats.org/officeDocument/2006/relationships/hyperlink" Target="http://www.petespintpot.co.uk/"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bjcp.org/stylecenter.php" TargetMode="External"/><Relationship Id="rId1" Type="http://schemas.openxmlformats.org/officeDocument/2006/relationships/hyperlink" Target="http://www.petespintpot.co.uk/"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www.petespintpot.co.uk/" TargetMode="External"/><Relationship Id="rId13" Type="http://schemas.openxmlformats.org/officeDocument/2006/relationships/hyperlink" Target="http://www.petespintpot.co.uk/" TargetMode="External"/><Relationship Id="rId18" Type="http://schemas.openxmlformats.org/officeDocument/2006/relationships/hyperlink" Target="http://www.petespintpot.co.uk/" TargetMode="External"/><Relationship Id="rId26" Type="http://schemas.openxmlformats.org/officeDocument/2006/relationships/drawing" Target="../drawings/drawing7.xml"/><Relationship Id="rId3" Type="http://schemas.openxmlformats.org/officeDocument/2006/relationships/hyperlink" Target="http://www.petespintpot.co.uk/index.html" TargetMode="External"/><Relationship Id="rId21" Type="http://schemas.openxmlformats.org/officeDocument/2006/relationships/hyperlink" Target="mailto:david.barrow@live.co.uk" TargetMode="External"/><Relationship Id="rId7" Type="http://schemas.openxmlformats.org/officeDocument/2006/relationships/hyperlink" Target="http://www.petespintpot.co.uk/index.html" TargetMode="External"/><Relationship Id="rId12" Type="http://schemas.openxmlformats.org/officeDocument/2006/relationships/hyperlink" Target="http://www.petespintpot.co.uk/" TargetMode="External"/><Relationship Id="rId17" Type="http://schemas.openxmlformats.org/officeDocument/2006/relationships/hyperlink" Target="http://www.petespintpot.co.uk/" TargetMode="External"/><Relationship Id="rId25" Type="http://schemas.openxmlformats.org/officeDocument/2006/relationships/printerSettings" Target="../printerSettings/printerSettings8.bin"/><Relationship Id="rId2" Type="http://schemas.openxmlformats.org/officeDocument/2006/relationships/hyperlink" Target="http://www.thewinemakersgoodbrewbook.com/" TargetMode="External"/><Relationship Id="rId16" Type="http://schemas.openxmlformats.org/officeDocument/2006/relationships/hyperlink" Target="http://www.petespintpot.co.uk/index.html" TargetMode="External"/><Relationship Id="rId20" Type="http://schemas.openxmlformats.org/officeDocument/2006/relationships/hyperlink" Target="mailto:david.barrow@live.co.uk" TargetMode="External"/><Relationship Id="rId1" Type="http://schemas.openxmlformats.org/officeDocument/2006/relationships/hyperlink" Target="http://www.yobrew.co.uk/" TargetMode="External"/><Relationship Id="rId6" Type="http://schemas.openxmlformats.org/officeDocument/2006/relationships/hyperlink" Target="http://www.petespintpot.co.uk/index.html" TargetMode="External"/><Relationship Id="rId11" Type="http://schemas.openxmlformats.org/officeDocument/2006/relationships/hyperlink" Target="http://www.petespintpot.co.uk/index.html" TargetMode="External"/><Relationship Id="rId24" Type="http://schemas.openxmlformats.org/officeDocument/2006/relationships/hyperlink" Target="mailto:david.barrow@live.co.uk" TargetMode="External"/><Relationship Id="rId5" Type="http://schemas.openxmlformats.org/officeDocument/2006/relationships/hyperlink" Target="http://www.petespintpot.co.uk/index.html" TargetMode="External"/><Relationship Id="rId15" Type="http://schemas.openxmlformats.org/officeDocument/2006/relationships/hyperlink" Target="http://www.petespintpot.co.uk/diabetic.html" TargetMode="External"/><Relationship Id="rId23" Type="http://schemas.openxmlformats.org/officeDocument/2006/relationships/hyperlink" Target="mailto:jamesbsmith@hotmail.com" TargetMode="External"/><Relationship Id="rId10" Type="http://schemas.openxmlformats.org/officeDocument/2006/relationships/hyperlink" Target="http://www.petespintpot.co.uk/index.html" TargetMode="External"/><Relationship Id="rId19" Type="http://schemas.openxmlformats.org/officeDocument/2006/relationships/hyperlink" Target="http://www.petespintpot.co.uk/" TargetMode="External"/><Relationship Id="rId4" Type="http://schemas.openxmlformats.org/officeDocument/2006/relationships/hyperlink" Target="http://www.petespintpot.co.uk/" TargetMode="External"/><Relationship Id="rId9" Type="http://schemas.openxmlformats.org/officeDocument/2006/relationships/hyperlink" Target="http://www.petespintpot.co.uk/" TargetMode="External"/><Relationship Id="rId14" Type="http://schemas.openxmlformats.org/officeDocument/2006/relationships/hyperlink" Target="http://www.petespintpot.co.uk/index.html" TargetMode="External"/><Relationship Id="rId22" Type="http://schemas.openxmlformats.org/officeDocument/2006/relationships/hyperlink" Target="http://www.petespintpot.co.uk/"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yobrew.co.uk/" TargetMode="External"/><Relationship Id="rId1" Type="http://schemas.openxmlformats.org/officeDocument/2006/relationships/hyperlink" Target="mailto:jamesbsmith@hotmail.com"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enableFormatConditionsCalculation="0">
    <tabColor indexed="26"/>
    <pageSetUpPr fitToPage="1"/>
  </sheetPr>
  <dimension ref="A1:I69"/>
  <sheetViews>
    <sheetView zoomScaleSheetLayoutView="75" workbookViewId="0">
      <selection activeCell="M30" sqref="M29:M30"/>
    </sheetView>
  </sheetViews>
  <sheetFormatPr defaultRowHeight="15"/>
  <cols>
    <col min="1" max="1" width="1.7109375" style="596" customWidth="1"/>
    <col min="2" max="2" width="5.5703125" customWidth="1"/>
    <col min="3" max="3" width="32.7109375" customWidth="1"/>
    <col min="4" max="4" width="9.85546875" customWidth="1"/>
    <col min="5" max="5" width="36.28515625" customWidth="1"/>
    <col min="6" max="6" width="11" customWidth="1"/>
    <col min="7" max="7" width="2.7109375" customWidth="1"/>
  </cols>
  <sheetData>
    <row r="1" spans="1:9" ht="21" customHeight="1">
      <c r="A1" s="2989" t="s">
        <v>1799</v>
      </c>
      <c r="B1" s="2989"/>
      <c r="C1" s="2981" t="s">
        <v>1647</v>
      </c>
      <c r="D1" s="2981"/>
      <c r="E1" s="2981"/>
      <c r="F1" s="2875" t="s">
        <v>1798</v>
      </c>
      <c r="G1" s="1104"/>
      <c r="H1" s="2878"/>
      <c r="I1" s="2878"/>
    </row>
    <row r="2" spans="1:9" ht="12" customHeight="1">
      <c r="A2" s="2319"/>
      <c r="B2" s="2319"/>
      <c r="C2" s="2319"/>
      <c r="D2" s="1168"/>
      <c r="E2" s="2963" t="s">
        <v>1539</v>
      </c>
      <c r="F2" s="2963"/>
      <c r="G2" s="1104"/>
      <c r="H2" s="2878"/>
      <c r="I2" s="2878"/>
    </row>
    <row r="3" spans="1:9" s="1711" customFormat="1" ht="15" customHeight="1">
      <c r="A3" s="2315"/>
      <c r="B3" s="2970" t="s">
        <v>1644</v>
      </c>
      <c r="C3" s="2971"/>
      <c r="D3" s="2971"/>
      <c r="E3" s="2971"/>
      <c r="F3" s="2971"/>
      <c r="G3" s="1104"/>
      <c r="H3" s="2878"/>
      <c r="I3" s="2878"/>
    </row>
    <row r="4" spans="1:9" s="2316" customFormat="1" ht="12" customHeight="1">
      <c r="A4" s="2315"/>
      <c r="B4" s="2968" t="s">
        <v>1645</v>
      </c>
      <c r="C4" s="2968"/>
      <c r="D4" s="2968"/>
      <c r="E4" s="2968"/>
      <c r="F4" s="2968"/>
      <c r="G4" s="1104"/>
      <c r="H4" s="2878"/>
      <c r="I4" s="2878"/>
    </row>
    <row r="5" spans="1:9" ht="14.25" customHeight="1">
      <c r="A5" s="1932"/>
      <c r="B5" s="2969" t="s">
        <v>1584</v>
      </c>
      <c r="C5" s="2969"/>
      <c r="D5" s="2969"/>
      <c r="E5" s="2969"/>
      <c r="F5" s="2969"/>
      <c r="G5" s="1104"/>
      <c r="H5" s="2878"/>
      <c r="I5" s="2878"/>
    </row>
    <row r="6" spans="1:9" s="1711" customFormat="1" ht="14.25" customHeight="1">
      <c r="A6" s="1932"/>
      <c r="B6" s="2969"/>
      <c r="C6" s="2969"/>
      <c r="D6" s="2969"/>
      <c r="E6" s="2969"/>
      <c r="F6" s="2969"/>
      <c r="G6" s="1104"/>
      <c r="H6" s="2878"/>
      <c r="I6" s="2878"/>
    </row>
    <row r="7" spans="1:9" ht="14.25" customHeight="1">
      <c r="A7" s="1932"/>
      <c r="B7" s="2969"/>
      <c r="C7" s="2969"/>
      <c r="D7" s="2969"/>
      <c r="E7" s="2969"/>
      <c r="F7" s="2969"/>
      <c r="G7" s="1104"/>
      <c r="H7" s="2878"/>
      <c r="I7" s="2878"/>
    </row>
    <row r="8" spans="1:9" ht="14.25" customHeight="1">
      <c r="A8" s="1932"/>
      <c r="B8" s="2969"/>
      <c r="C8" s="2969"/>
      <c r="D8" s="2969"/>
      <c r="E8" s="2969"/>
      <c r="F8" s="2969"/>
      <c r="G8" s="1104"/>
      <c r="H8" s="2878"/>
      <c r="I8" s="2878"/>
    </row>
    <row r="9" spans="1:9" ht="14.25" customHeight="1">
      <c r="A9" s="1932"/>
      <c r="B9" s="2969"/>
      <c r="C9" s="2969"/>
      <c r="D9" s="2969"/>
      <c r="E9" s="2969"/>
      <c r="F9" s="2969"/>
      <c r="G9" s="1104"/>
      <c r="H9" s="2878"/>
      <c r="I9" s="2878"/>
    </row>
    <row r="10" spans="1:9" ht="14.25" customHeight="1">
      <c r="A10" s="1932"/>
      <c r="B10" s="2969"/>
      <c r="C10" s="2969"/>
      <c r="D10" s="2969"/>
      <c r="E10" s="2969"/>
      <c r="F10" s="2969"/>
      <c r="G10" s="1104"/>
      <c r="H10" s="2878"/>
      <c r="I10" s="2878"/>
    </row>
    <row r="11" spans="1:9" ht="13.5" customHeight="1">
      <c r="A11" s="1932"/>
      <c r="B11" s="2969"/>
      <c r="C11" s="2969"/>
      <c r="D11" s="2969"/>
      <c r="E11" s="2969"/>
      <c r="F11" s="2969"/>
      <c r="G11" s="1104"/>
      <c r="H11" s="2878"/>
      <c r="I11" s="2878"/>
    </row>
    <row r="12" spans="1:9" ht="18.75" customHeight="1">
      <c r="A12" s="1932"/>
      <c r="B12" s="2965" t="s">
        <v>943</v>
      </c>
      <c r="C12" s="2965"/>
      <c r="D12" s="2965"/>
      <c r="E12" s="2965"/>
      <c r="F12" s="1169"/>
      <c r="G12" s="1104"/>
      <c r="H12" s="2878"/>
      <c r="I12" s="2878"/>
    </row>
    <row r="13" spans="1:9" ht="13.5" customHeight="1">
      <c r="A13" s="1932"/>
      <c r="B13" s="965"/>
      <c r="C13" s="965"/>
      <c r="D13" s="2966" t="s">
        <v>776</v>
      </c>
      <c r="E13" s="2966"/>
      <c r="F13" s="2876"/>
      <c r="G13" s="1104"/>
      <c r="H13" s="2878"/>
      <c r="I13" s="2878"/>
    </row>
    <row r="14" spans="1:9" ht="17.25" customHeight="1">
      <c r="A14" s="1932"/>
      <c r="B14" s="2967" t="s">
        <v>1042</v>
      </c>
      <c r="C14" s="2967"/>
      <c r="D14" s="2964" t="s">
        <v>1043</v>
      </c>
      <c r="E14" s="2964"/>
      <c r="F14" s="2964"/>
      <c r="G14" s="1104"/>
      <c r="H14" s="2878"/>
      <c r="I14" s="2878"/>
    </row>
    <row r="15" spans="1:9" ht="13.5" customHeight="1">
      <c r="A15" s="1932"/>
      <c r="B15" s="1170"/>
      <c r="C15" s="1171" t="s">
        <v>1650</v>
      </c>
      <c r="D15" s="2964" t="s">
        <v>1471</v>
      </c>
      <c r="E15" s="2964"/>
      <c r="F15" s="2964"/>
      <c r="G15" s="1104"/>
      <c r="H15" s="2878"/>
      <c r="I15" s="2878"/>
    </row>
    <row r="16" spans="1:9" ht="13.5" customHeight="1">
      <c r="A16" s="1932"/>
      <c r="B16" s="1170"/>
      <c r="C16" s="1172"/>
      <c r="D16" s="2964" t="s">
        <v>994</v>
      </c>
      <c r="E16" s="2964"/>
      <c r="F16" s="2964"/>
      <c r="G16" s="1104"/>
      <c r="H16" s="2878"/>
      <c r="I16" s="2878"/>
    </row>
    <row r="17" spans="1:9" ht="13.5" customHeight="1">
      <c r="A17" s="1932"/>
      <c r="B17" s="1170"/>
      <c r="C17" s="1172"/>
      <c r="D17" s="2964" t="s">
        <v>1044</v>
      </c>
      <c r="E17" s="2964"/>
      <c r="F17" s="2964"/>
      <c r="G17" s="1104"/>
      <c r="H17" s="2878"/>
      <c r="I17" s="2878"/>
    </row>
    <row r="18" spans="1:9" ht="13.5" customHeight="1">
      <c r="A18" s="1932"/>
      <c r="B18" s="1170"/>
      <c r="C18" s="1172"/>
      <c r="D18" s="1173"/>
      <c r="E18" s="2972" t="s">
        <v>1045</v>
      </c>
      <c r="F18" s="2972"/>
      <c r="G18" s="1104"/>
      <c r="H18" s="2878"/>
      <c r="I18" s="2878"/>
    </row>
    <row r="19" spans="1:9" ht="13.5" customHeight="1">
      <c r="A19" s="1932"/>
      <c r="B19" s="1170"/>
      <c r="C19" s="1172"/>
      <c r="D19" s="2964" t="s">
        <v>1001</v>
      </c>
      <c r="E19" s="2964"/>
      <c r="F19" s="2964"/>
      <c r="G19" s="1104"/>
      <c r="H19" s="2878"/>
      <c r="I19" s="2878"/>
    </row>
    <row r="20" spans="1:9" ht="13.5" customHeight="1">
      <c r="A20" s="1932"/>
      <c r="B20" s="1170"/>
      <c r="C20" s="1172"/>
      <c r="D20" s="2964" t="s">
        <v>1046</v>
      </c>
      <c r="E20" s="2964"/>
      <c r="F20" s="2964"/>
      <c r="G20" s="1104"/>
      <c r="H20" s="2878"/>
      <c r="I20" s="2878"/>
    </row>
    <row r="21" spans="1:9" ht="13.5" customHeight="1">
      <c r="A21" s="1932"/>
      <c r="B21" s="1170"/>
      <c r="C21" s="1172"/>
      <c r="D21" s="2964" t="s">
        <v>297</v>
      </c>
      <c r="E21" s="2964"/>
      <c r="F21" s="2964"/>
      <c r="G21" s="1104"/>
      <c r="H21" s="2878"/>
      <c r="I21" s="2878"/>
    </row>
    <row r="22" spans="1:9" ht="13.5" customHeight="1">
      <c r="A22" s="1932"/>
      <c r="B22" s="965"/>
      <c r="C22" s="965"/>
      <c r="D22" s="2977"/>
      <c r="E22" s="2977"/>
      <c r="F22" s="2977"/>
      <c r="G22" s="1104"/>
      <c r="H22" s="2878"/>
      <c r="I22" s="2878"/>
    </row>
    <row r="23" spans="1:9" ht="17.25" customHeight="1">
      <c r="A23" s="1932"/>
      <c r="B23" s="2967" t="s">
        <v>778</v>
      </c>
      <c r="C23" s="2967"/>
      <c r="D23" s="2975" t="s">
        <v>1501</v>
      </c>
      <c r="E23" s="2975"/>
      <c r="F23" s="2975"/>
      <c r="G23" s="1104"/>
      <c r="H23" s="2878"/>
      <c r="I23" s="2878"/>
    </row>
    <row r="24" spans="1:9" ht="13.5" customHeight="1">
      <c r="A24" s="1932"/>
      <c r="B24" s="965"/>
      <c r="C24" s="1171" t="s">
        <v>1798</v>
      </c>
      <c r="D24" s="2974" t="s">
        <v>390</v>
      </c>
      <c r="E24" s="2974"/>
      <c r="F24" s="2974"/>
      <c r="G24" s="1104"/>
      <c r="H24" s="2878"/>
      <c r="I24" s="2878"/>
    </row>
    <row r="25" spans="1:9" ht="13.5" customHeight="1">
      <c r="A25" s="1932"/>
      <c r="B25" s="965"/>
      <c r="C25" s="965"/>
      <c r="D25" s="2974" t="s">
        <v>787</v>
      </c>
      <c r="E25" s="2974"/>
      <c r="F25" s="2974"/>
      <c r="G25" s="1104"/>
      <c r="H25" s="2878"/>
      <c r="I25" s="2878"/>
    </row>
    <row r="26" spans="1:9" ht="13.5" customHeight="1">
      <c r="A26" s="1932"/>
      <c r="B26" s="965"/>
      <c r="C26" s="965"/>
      <c r="D26" s="2974" t="s">
        <v>788</v>
      </c>
      <c r="E26" s="2974"/>
      <c r="F26" s="2974"/>
      <c r="G26" s="1104"/>
      <c r="H26" s="2878"/>
      <c r="I26" s="2878"/>
    </row>
    <row r="27" spans="1:9" ht="13.5" customHeight="1">
      <c r="A27" s="1932"/>
      <c r="B27" s="965"/>
      <c r="C27" s="965"/>
      <c r="D27" s="1929"/>
      <c r="E27" s="2975" t="s">
        <v>789</v>
      </c>
      <c r="F27" s="2975"/>
      <c r="G27" s="1104"/>
      <c r="H27" s="2878"/>
      <c r="I27" s="2878"/>
    </row>
    <row r="28" spans="1:9" ht="13.5" customHeight="1">
      <c r="A28" s="1932"/>
      <c r="B28" s="965"/>
      <c r="C28" s="965"/>
      <c r="D28" s="2873"/>
      <c r="E28" s="2977"/>
      <c r="F28" s="2977"/>
      <c r="G28" s="1104"/>
      <c r="H28" s="2878"/>
      <c r="I28" s="2878"/>
    </row>
    <row r="29" spans="1:9" ht="17.25" customHeight="1">
      <c r="A29" s="1932"/>
      <c r="B29" s="2978" t="s">
        <v>790</v>
      </c>
      <c r="C29" s="2978"/>
      <c r="D29" s="2974" t="s">
        <v>390</v>
      </c>
      <c r="E29" s="2974"/>
      <c r="F29" s="2974"/>
      <c r="G29" s="1104"/>
      <c r="H29" s="2878"/>
      <c r="I29" s="2878"/>
    </row>
    <row r="30" spans="1:9" ht="13.5" customHeight="1">
      <c r="A30" s="1932"/>
      <c r="B30" s="965"/>
      <c r="C30" s="1171" t="s">
        <v>1798</v>
      </c>
      <c r="D30" s="2974" t="s">
        <v>787</v>
      </c>
      <c r="E30" s="2974"/>
      <c r="F30" s="2974"/>
      <c r="G30" s="1104"/>
      <c r="H30" s="2878"/>
      <c r="I30" s="2878"/>
    </row>
    <row r="31" spans="1:9" ht="13.5" customHeight="1">
      <c r="A31" s="1932"/>
      <c r="B31" s="965"/>
      <c r="C31" s="965"/>
      <c r="D31" s="2974" t="s">
        <v>788</v>
      </c>
      <c r="E31" s="2974"/>
      <c r="F31" s="2974"/>
      <c r="G31" s="1104"/>
      <c r="H31" s="2878"/>
      <c r="I31" s="2878"/>
    </row>
    <row r="32" spans="1:9" ht="13.5" customHeight="1">
      <c r="A32" s="1932"/>
      <c r="B32" s="965"/>
      <c r="C32" s="965"/>
      <c r="D32" s="1930"/>
      <c r="E32" s="2975" t="s">
        <v>789</v>
      </c>
      <c r="F32" s="2975"/>
      <c r="G32" s="1104"/>
      <c r="H32" s="2878"/>
      <c r="I32" s="2878"/>
    </row>
    <row r="33" spans="1:9" s="596" customFormat="1" ht="13.5" customHeight="1">
      <c r="A33" s="1932"/>
      <c r="B33" s="965"/>
      <c r="C33" s="965"/>
      <c r="D33" s="1930"/>
      <c r="E33" s="2874"/>
      <c r="F33" s="2874"/>
      <c r="G33" s="1104"/>
      <c r="H33" s="2878"/>
      <c r="I33" s="2878"/>
    </row>
    <row r="34" spans="1:9" s="596" customFormat="1" ht="17.25" customHeight="1">
      <c r="A34" s="1932"/>
      <c r="B34" s="2978" t="s">
        <v>1142</v>
      </c>
      <c r="C34" s="2978"/>
      <c r="D34" s="2979" t="s">
        <v>1502</v>
      </c>
      <c r="E34" s="2979"/>
      <c r="F34" s="2979"/>
      <c r="G34" s="1104"/>
      <c r="H34" s="2878"/>
      <c r="I34" s="2878"/>
    </row>
    <row r="35" spans="1:9" s="596" customFormat="1" ht="13.5" customHeight="1">
      <c r="A35" s="1932"/>
      <c r="B35" s="1170"/>
      <c r="C35" s="1171" t="s">
        <v>1650</v>
      </c>
      <c r="D35" s="1931"/>
      <c r="E35" s="2980"/>
      <c r="F35" s="2980"/>
      <c r="G35" s="1104"/>
      <c r="H35" s="2878"/>
      <c r="I35" s="2878"/>
    </row>
    <row r="36" spans="1:9" s="596" customFormat="1" ht="13.5" customHeight="1">
      <c r="A36" s="1932"/>
      <c r="B36" s="965"/>
      <c r="C36" s="965"/>
      <c r="D36" s="1930"/>
      <c r="E36" s="2874"/>
      <c r="F36" s="2874"/>
      <c r="G36" s="1104"/>
      <c r="H36" s="2878"/>
      <c r="I36" s="2878"/>
    </row>
    <row r="37" spans="1:9" ht="17.25" customHeight="1">
      <c r="A37" s="1932"/>
      <c r="B37" s="2978" t="s">
        <v>791</v>
      </c>
      <c r="C37" s="2978"/>
      <c r="D37" s="2976" t="s">
        <v>1505</v>
      </c>
      <c r="E37" s="2976"/>
      <c r="F37" s="2976"/>
      <c r="G37" s="1104"/>
      <c r="H37" s="2878"/>
      <c r="I37" s="2878"/>
    </row>
    <row r="38" spans="1:9" ht="13.5" customHeight="1">
      <c r="A38" s="1932"/>
      <c r="B38" s="965"/>
      <c r="C38" s="1171" t="s">
        <v>1798</v>
      </c>
      <c r="D38" s="2976" t="s">
        <v>1504</v>
      </c>
      <c r="E38" s="2976"/>
      <c r="F38" s="2976"/>
      <c r="G38" s="1104"/>
      <c r="H38" s="2878"/>
      <c r="I38" s="2878"/>
    </row>
    <row r="39" spans="1:9" ht="13.5" customHeight="1">
      <c r="A39" s="1932"/>
      <c r="B39" s="965"/>
      <c r="C39" s="965"/>
      <c r="D39" s="2992" t="s">
        <v>792</v>
      </c>
      <c r="E39" s="2992"/>
      <c r="F39" s="2992"/>
      <c r="G39" s="1104"/>
      <c r="H39" s="2878"/>
      <c r="I39" s="2878"/>
    </row>
    <row r="40" spans="1:9" ht="13.5" customHeight="1">
      <c r="A40" s="1932"/>
      <c r="B40" s="965"/>
      <c r="C40" s="965"/>
      <c r="D40" s="2974" t="s">
        <v>1752</v>
      </c>
      <c r="E40" s="2974"/>
      <c r="F40" s="2974"/>
      <c r="G40" s="1104"/>
      <c r="H40" s="2878"/>
      <c r="I40" s="2878"/>
    </row>
    <row r="41" spans="1:9" ht="13.5" customHeight="1">
      <c r="A41" s="1932"/>
      <c r="B41" s="965"/>
      <c r="C41" s="965"/>
      <c r="D41" s="2873"/>
      <c r="E41" s="2977"/>
      <c r="F41" s="2977"/>
      <c r="G41" s="1104"/>
      <c r="H41" s="2878"/>
      <c r="I41" s="2878"/>
    </row>
    <row r="42" spans="1:9" ht="17.25" customHeight="1">
      <c r="A42" s="1932"/>
      <c r="B42" s="2967" t="s">
        <v>793</v>
      </c>
      <c r="C42" s="2967"/>
      <c r="D42" s="2976" t="s">
        <v>1503</v>
      </c>
      <c r="E42" s="2976"/>
      <c r="F42" s="2976"/>
      <c r="G42" s="1104"/>
      <c r="H42" s="2878"/>
      <c r="I42" s="2878"/>
    </row>
    <row r="43" spans="1:9" s="1711" customFormat="1" ht="13.5" customHeight="1">
      <c r="A43" s="1932"/>
      <c r="B43" s="2877"/>
      <c r="C43" s="2877"/>
      <c r="D43" s="2976" t="s">
        <v>1587</v>
      </c>
      <c r="E43" s="2976"/>
      <c r="F43" s="2976"/>
      <c r="G43" s="1104"/>
      <c r="H43" s="2878"/>
      <c r="I43" s="2878"/>
    </row>
    <row r="44" spans="1:9" ht="13.5" customHeight="1">
      <c r="A44" s="1932"/>
      <c r="B44" s="965"/>
      <c r="C44" s="1171" t="s">
        <v>1650</v>
      </c>
      <c r="D44" s="2976" t="s">
        <v>1585</v>
      </c>
      <c r="E44" s="2976"/>
      <c r="F44" s="2976"/>
      <c r="G44" s="1104"/>
      <c r="H44" s="2878"/>
      <c r="I44" s="2878"/>
    </row>
    <row r="45" spans="1:9" ht="13.5" customHeight="1">
      <c r="A45" s="1932"/>
      <c r="B45" s="965"/>
      <c r="C45" s="1174"/>
      <c r="D45" s="2873"/>
      <c r="E45" s="2977"/>
      <c r="F45" s="2977"/>
      <c r="G45" s="1104"/>
      <c r="H45" s="2878"/>
      <c r="I45" s="2878"/>
    </row>
    <row r="46" spans="1:9" ht="17.25" customHeight="1">
      <c r="A46" s="1932"/>
      <c r="B46" s="2978" t="s">
        <v>382</v>
      </c>
      <c r="C46" s="2978"/>
      <c r="D46" s="2976" t="s">
        <v>383</v>
      </c>
      <c r="E46" s="2976"/>
      <c r="F46" s="2976"/>
      <c r="G46" s="1104"/>
      <c r="H46" s="2878"/>
      <c r="I46" s="2878"/>
    </row>
    <row r="47" spans="1:9" ht="13.5" customHeight="1">
      <c r="A47" s="1932"/>
      <c r="B47" s="1175"/>
      <c r="C47" s="1171" t="s">
        <v>1650</v>
      </c>
      <c r="D47" s="2974" t="s">
        <v>384</v>
      </c>
      <c r="E47" s="2974"/>
      <c r="F47" s="2974"/>
      <c r="G47" s="1104"/>
      <c r="H47" s="2878"/>
      <c r="I47" s="2878"/>
    </row>
    <row r="48" spans="1:9" ht="13.5" customHeight="1">
      <c r="A48" s="1932"/>
      <c r="B48" s="1175"/>
      <c r="C48" s="965"/>
      <c r="D48" s="2974" t="s">
        <v>385</v>
      </c>
      <c r="E48" s="2974"/>
      <c r="F48" s="2974"/>
      <c r="G48" s="1104"/>
      <c r="H48" s="2878"/>
      <c r="I48" s="2878"/>
    </row>
    <row r="49" spans="1:9" ht="13.5" customHeight="1">
      <c r="A49" s="1932"/>
      <c r="B49" s="1175"/>
      <c r="C49" s="965"/>
      <c r="D49" s="2974" t="s">
        <v>386</v>
      </c>
      <c r="E49" s="2974"/>
      <c r="F49" s="2974"/>
      <c r="G49" s="1104"/>
      <c r="H49" s="2878"/>
      <c r="I49" s="2878"/>
    </row>
    <row r="50" spans="1:9" ht="13.5" customHeight="1">
      <c r="A50" s="1932"/>
      <c r="B50" s="1175"/>
      <c r="C50" s="965"/>
      <c r="D50" s="2974" t="s">
        <v>387</v>
      </c>
      <c r="E50" s="2974"/>
      <c r="F50" s="2974"/>
      <c r="G50" s="1104"/>
      <c r="H50" s="2878"/>
      <c r="I50" s="2878"/>
    </row>
    <row r="51" spans="1:9" ht="13.5" customHeight="1">
      <c r="A51" s="1932"/>
      <c r="B51" s="1175"/>
      <c r="C51" s="965"/>
      <c r="D51" s="2974" t="s">
        <v>386</v>
      </c>
      <c r="E51" s="2974"/>
      <c r="F51" s="2974"/>
      <c r="G51" s="1104"/>
      <c r="H51" s="2878"/>
      <c r="I51" s="2878"/>
    </row>
    <row r="52" spans="1:9" ht="13.5" customHeight="1">
      <c r="A52" s="1932"/>
      <c r="B52" s="1175"/>
      <c r="C52" s="965"/>
      <c r="D52" s="2974" t="s">
        <v>388</v>
      </c>
      <c r="E52" s="2974"/>
      <c r="F52" s="2974"/>
      <c r="G52" s="1104"/>
      <c r="H52" s="2878"/>
      <c r="I52" s="2878"/>
    </row>
    <row r="53" spans="1:9" ht="13.5" customHeight="1">
      <c r="A53" s="1932"/>
      <c r="B53" s="965"/>
      <c r="C53" s="965"/>
      <c r="D53" s="2974" t="s">
        <v>389</v>
      </c>
      <c r="E53" s="2974"/>
      <c r="F53" s="2974"/>
      <c r="G53" s="1104"/>
      <c r="H53" s="2878"/>
      <c r="I53" s="2878"/>
    </row>
    <row r="54" spans="1:9" ht="13.5" customHeight="1">
      <c r="A54" s="1932"/>
      <c r="B54" s="965"/>
      <c r="C54" s="965"/>
      <c r="D54" s="2974" t="s">
        <v>788</v>
      </c>
      <c r="E54" s="2974"/>
      <c r="F54" s="2974"/>
      <c r="G54" s="1104"/>
      <c r="H54" s="2878"/>
      <c r="I54" s="2878"/>
    </row>
    <row r="55" spans="1:9" s="596" customFormat="1" ht="13.5" customHeight="1">
      <c r="A55" s="1932"/>
      <c r="B55" s="965"/>
      <c r="C55" s="2876"/>
      <c r="D55" s="2977"/>
      <c r="E55" s="2977"/>
      <c r="F55" s="2977"/>
      <c r="G55" s="1104"/>
      <c r="H55" s="2878"/>
      <c r="I55" s="2878"/>
    </row>
    <row r="56" spans="1:9" s="596" customFormat="1" ht="17.25" customHeight="1">
      <c r="A56" s="1932"/>
      <c r="B56" s="2978" t="s">
        <v>1456</v>
      </c>
      <c r="C56" s="2978"/>
      <c r="D56" s="2991" t="s">
        <v>1457</v>
      </c>
      <c r="E56" s="2991"/>
      <c r="F56" s="2991"/>
      <c r="G56" s="1104"/>
      <c r="H56" s="2878"/>
      <c r="I56" s="2878"/>
    </row>
    <row r="57" spans="1:9" ht="13.5" customHeight="1">
      <c r="A57" s="1932"/>
      <c r="B57" s="965"/>
      <c r="C57" s="1171" t="s">
        <v>1650</v>
      </c>
      <c r="D57" s="2976" t="s">
        <v>1646</v>
      </c>
      <c r="E57" s="2976"/>
      <c r="F57" s="2976"/>
      <c r="G57" s="1104"/>
      <c r="H57" s="2878"/>
      <c r="I57" s="2878"/>
    </row>
    <row r="58" spans="1:9" s="596" customFormat="1" ht="13.5" customHeight="1">
      <c r="A58" s="1932"/>
      <c r="B58" s="965"/>
      <c r="C58" s="1171"/>
      <c r="D58" s="2872"/>
      <c r="E58" s="2873"/>
      <c r="F58" s="2873"/>
      <c r="G58" s="1104"/>
      <c r="H58" s="2878"/>
      <c r="I58" s="2878"/>
    </row>
    <row r="59" spans="1:9" ht="17.25" customHeight="1">
      <c r="A59" s="1932"/>
      <c r="B59" s="2978" t="s">
        <v>368</v>
      </c>
      <c r="C59" s="2978"/>
      <c r="D59" s="2990" t="s">
        <v>369</v>
      </c>
      <c r="E59" s="2990"/>
      <c r="F59" s="2990"/>
      <c r="G59" s="1104"/>
      <c r="H59" s="2878"/>
      <c r="I59" s="2878"/>
    </row>
    <row r="60" spans="1:9" ht="13.5" customHeight="1">
      <c r="A60" s="1932"/>
      <c r="B60" s="965"/>
      <c r="C60" s="1171" t="s">
        <v>1798</v>
      </c>
      <c r="D60" s="2973"/>
      <c r="E60" s="2973"/>
      <c r="F60" s="2973"/>
      <c r="G60" s="1104"/>
      <c r="H60" s="2878"/>
      <c r="I60" s="2878"/>
    </row>
    <row r="61" spans="1:9" ht="5.25" customHeight="1">
      <c r="A61" s="1932"/>
      <c r="B61" s="2106"/>
      <c r="C61" s="2106"/>
      <c r="D61" s="1176"/>
      <c r="E61" s="2876"/>
      <c r="F61" s="2876"/>
      <c r="G61" s="1104"/>
      <c r="H61" s="2878"/>
      <c r="I61" s="2878"/>
    </row>
    <row r="62" spans="1:9" ht="15" customHeight="1">
      <c r="A62" s="1932"/>
      <c r="B62" s="2986" t="s">
        <v>1047</v>
      </c>
      <c r="C62" s="2986"/>
      <c r="D62" s="2986"/>
      <c r="E62" s="2986"/>
      <c r="F62" s="2986"/>
      <c r="G62" s="1104"/>
      <c r="H62" s="2878"/>
      <c r="I62" s="2878"/>
    </row>
    <row r="63" spans="1:9" ht="10.9" customHeight="1">
      <c r="A63" s="1932"/>
      <c r="B63" s="1177"/>
      <c r="C63" s="1178"/>
      <c r="D63" s="1104"/>
      <c r="E63" s="2987" t="s">
        <v>257</v>
      </c>
      <c r="F63" s="2987"/>
      <c r="G63" s="1104"/>
      <c r="H63" s="2878"/>
      <c r="I63" s="2878"/>
    </row>
    <row r="64" spans="1:9" ht="10.9" customHeight="1">
      <c r="A64" s="1932"/>
      <c r="B64" s="1177"/>
      <c r="C64" s="1179"/>
      <c r="D64" s="1180"/>
      <c r="E64" s="2985" t="s">
        <v>155</v>
      </c>
      <c r="F64" s="2985"/>
      <c r="G64" s="1104"/>
      <c r="H64" s="2878"/>
      <c r="I64" s="2878"/>
    </row>
    <row r="65" spans="1:9" ht="10.9" customHeight="1">
      <c r="A65" s="1932"/>
      <c r="B65" s="2988" t="s">
        <v>794</v>
      </c>
      <c r="C65" s="2988"/>
      <c r="D65" s="1180"/>
      <c r="E65" s="2984" t="s">
        <v>376</v>
      </c>
      <c r="F65" s="2984"/>
      <c r="G65" s="1104"/>
      <c r="H65" s="2878"/>
      <c r="I65" s="2878"/>
    </row>
    <row r="66" spans="1:9" ht="10.9" customHeight="1">
      <c r="A66" s="1932"/>
      <c r="B66" s="2983" t="s">
        <v>1177</v>
      </c>
      <c r="C66" s="2983"/>
      <c r="D66" s="2983"/>
      <c r="E66" s="2982" t="s">
        <v>157</v>
      </c>
      <c r="F66" s="2982"/>
      <c r="G66" s="1104"/>
      <c r="H66" s="2878"/>
      <c r="I66" s="2878"/>
    </row>
    <row r="67" spans="1:9">
      <c r="A67" s="1104"/>
      <c r="B67" s="1104"/>
      <c r="C67" s="1104"/>
      <c r="D67" s="1104"/>
      <c r="E67" s="1104"/>
      <c r="F67" s="1104"/>
      <c r="G67" s="1104"/>
      <c r="H67" s="2878"/>
      <c r="I67" s="2878"/>
    </row>
    <row r="68" spans="1:9">
      <c r="A68" s="2878"/>
      <c r="B68" s="2878"/>
      <c r="C68" s="2878"/>
      <c r="D68" s="2878"/>
      <c r="E68" s="2878"/>
      <c r="F68" s="2878"/>
      <c r="G68" s="2878"/>
      <c r="H68" s="2878"/>
      <c r="I68" s="2878"/>
    </row>
    <row r="69" spans="1:9">
      <c r="A69" s="2878"/>
      <c r="B69" s="2878"/>
      <c r="C69" s="2878"/>
      <c r="D69" s="2878"/>
      <c r="E69" s="2878"/>
      <c r="F69" s="2878"/>
      <c r="G69" s="2878"/>
      <c r="H69" s="2878"/>
      <c r="I69" s="2878"/>
    </row>
  </sheetData>
  <sheetProtection password="FA80" sheet="1" objects="1" scenarios="1"/>
  <mergeCells count="68">
    <mergeCell ref="B65:C65"/>
    <mergeCell ref="A1:B1"/>
    <mergeCell ref="B59:C59"/>
    <mergeCell ref="B37:C37"/>
    <mergeCell ref="E45:F45"/>
    <mergeCell ref="B29:C29"/>
    <mergeCell ref="D52:F52"/>
    <mergeCell ref="D59:F59"/>
    <mergeCell ref="D53:F53"/>
    <mergeCell ref="D54:F54"/>
    <mergeCell ref="D56:F56"/>
    <mergeCell ref="D55:F55"/>
    <mergeCell ref="D31:F31"/>
    <mergeCell ref="D39:F39"/>
    <mergeCell ref="D38:F38"/>
    <mergeCell ref="E41:F41"/>
    <mergeCell ref="C1:E1"/>
    <mergeCell ref="E66:F66"/>
    <mergeCell ref="B42:C42"/>
    <mergeCell ref="B46:C46"/>
    <mergeCell ref="B66:D66"/>
    <mergeCell ref="E65:F65"/>
    <mergeCell ref="E64:F64"/>
    <mergeCell ref="B62:F62"/>
    <mergeCell ref="E63:F63"/>
    <mergeCell ref="B56:C56"/>
    <mergeCell ref="D46:F46"/>
    <mergeCell ref="D47:F47"/>
    <mergeCell ref="D48:F48"/>
    <mergeCell ref="D49:F49"/>
    <mergeCell ref="D50:F50"/>
    <mergeCell ref="D51:F51"/>
    <mergeCell ref="B23:C23"/>
    <mergeCell ref="D57:F57"/>
    <mergeCell ref="B34:C34"/>
    <mergeCell ref="D34:F34"/>
    <mergeCell ref="E35:F35"/>
    <mergeCell ref="E28:F28"/>
    <mergeCell ref="D40:F40"/>
    <mergeCell ref="D29:F29"/>
    <mergeCell ref="D30:F30"/>
    <mergeCell ref="E32:F32"/>
    <mergeCell ref="D37:F37"/>
    <mergeCell ref="D44:F44"/>
    <mergeCell ref="D20:F20"/>
    <mergeCell ref="D21:F21"/>
    <mergeCell ref="E18:F18"/>
    <mergeCell ref="D19:F19"/>
    <mergeCell ref="D60:F60"/>
    <mergeCell ref="D26:F26"/>
    <mergeCell ref="E27:F27"/>
    <mergeCell ref="D42:F42"/>
    <mergeCell ref="D43:F43"/>
    <mergeCell ref="D24:F24"/>
    <mergeCell ref="D25:F25"/>
    <mergeCell ref="D22:F22"/>
    <mergeCell ref="D23:F23"/>
    <mergeCell ref="E2:F2"/>
    <mergeCell ref="D15:F15"/>
    <mergeCell ref="D16:F16"/>
    <mergeCell ref="D17:F17"/>
    <mergeCell ref="B12:E12"/>
    <mergeCell ref="D13:E13"/>
    <mergeCell ref="B14:C14"/>
    <mergeCell ref="B4:F4"/>
    <mergeCell ref="B5:F11"/>
    <mergeCell ref="B3:F3"/>
    <mergeCell ref="D14:F14"/>
  </mergeCells>
  <phoneticPr fontId="10" type="noConversion"/>
  <hyperlinks>
    <hyperlink ref="D24" location="'Wine Calc. 2.1'!B169" display="Summary for Finished Wines"/>
    <hyperlink ref="D31:E31" location="'Beer Calc'!A121" display="Technical Section"/>
    <hyperlink ref="D50" location="'Wine Calc'!B186" display="Priming &quot;Ciders&quot; &amp; Sparkling Wines"/>
    <hyperlink ref="D51" location="'Wine Calc '!C207" display="Calorie/unit counter."/>
    <hyperlink ref="D47" location="'Wine Calc. 2.1'!B169" display="Summary for Finished Wines"/>
    <hyperlink ref="D53:E53" location="'Wine Calc '!B269" display="Fortifying Wines"/>
    <hyperlink ref="D52:E52" location="'Wine Calc '!B263" display="Sugar Solutions (Syrups)"/>
    <hyperlink ref="D48:E48" location="'Wine Calc '!X1" display="Typical Wine Parameters"/>
    <hyperlink ref="D49" location="'Wine Calc '!C188" display="Calorie/unit counter."/>
    <hyperlink ref="D54:E54" location="'Wine Calc '!B282" display="Technical Section"/>
    <hyperlink ref="D25:E25" location="'Extract Calc'!K4" display="Calorie/Carbohydrate/Unit Data."/>
    <hyperlink ref="E64" r:id="rId1"/>
    <hyperlink ref="E66" r:id="rId2"/>
    <hyperlink ref="E65" r:id="rId3"/>
    <hyperlink ref="D30:E30" location="'Beer Calc'!H6" display="Calorie/Carbohydrate/Unit Data."/>
    <hyperlink ref="D24:E24" location="'Extract Calc'!D4" display="Summary for Finished Beer"/>
    <hyperlink ref="B59:C59" location="Jam!I1" display="Jam Calculator"/>
    <hyperlink ref="B46:C46" location="'Wine Calc '!L1" display="Wine Calculator"/>
    <hyperlink ref="D29:E29" location="'Beer Calc'!B6" display="Summary for Finished Beer"/>
    <hyperlink ref="D47:E47" location="'Wine Calc '!A3" display="Summary for Finished Wine"/>
    <hyperlink ref="B23:C23" location="'Extract Calc'!I1" display="Malt Extract Calculator"/>
    <hyperlink ref="D26:E26" location="'Extract Calc'!B106" display="Technical Section"/>
    <hyperlink ref="D50:E50" location="'Wine Calc '!B196" display="Priming Ciders &amp; Sparkling Wines"/>
    <hyperlink ref="B14" location="'General Calc's'!H1" display="General Calc's."/>
    <hyperlink ref="D14" location="'General Calc's'!B4" display="General Converters - volume, weights, temperature etc."/>
    <hyperlink ref="D19" location="'General Calc's'!B101" display="Making Beer &amp; Wine In Stages"/>
    <hyperlink ref="D14:F14" location="'General Calc''s'!B4" display="General Converters - volume, weights, temperature etc."/>
    <hyperlink ref="D19:F19" location="'General Calc''s'!B70" display="Making Beer &amp; Wine In Stages"/>
    <hyperlink ref="B14:C14" location="'General Calc''s'!H1" display="General Calc's."/>
    <hyperlink ref="D15" location="'General Calc''s'!M45" display="SG to % ABV Calculator"/>
    <hyperlink ref="D20" location="'General Calc's'!B75" display="BMI Calculator &amp; Safe Drinking (UK)"/>
    <hyperlink ref="D20:F20" location="'General Calc''s'!B77" display="Safe Drinking (UK)"/>
    <hyperlink ref="D15:F15" location="'General Calc''s'!B33" display="SG to % ABV Calculator"/>
    <hyperlink ref="D21" location="'General Calc's'!B75" display="BMI Calculator &amp; Safe Drinking (UK)"/>
    <hyperlink ref="D21:F21" location="'General Calc''s'!B86" display="BMI Calculator"/>
    <hyperlink ref="B42:C42" location="BJCP!F1" display="BJCP Guide"/>
    <hyperlink ref="B56" location="'Jame''s Acid Calc'!A1" display="Jame'sAcid Calc"/>
    <hyperlink ref="D16:F16" location="'General Calc''s'!B51" display="°Brix, Plato, Balling &amp; Baumé"/>
    <hyperlink ref="D17:F17" location="'General Calc''s'!B61" display="UK / US Proof &amp; % Converters"/>
    <hyperlink ref="B56:C56" location="'Jame''s Acid Calc'!D1" display="Jame's Acid Calculator"/>
    <hyperlink ref="D26:F26" location="'Extract Calc'!B110" display="Technical Section"/>
    <hyperlink ref="D30:F30" location="'Beer Calc'!I6" display="Calorie/Carbohydrate/Unit Data."/>
    <hyperlink ref="B29" location="'Beer Calc.'!A1" display="Peter's Beer Calculations"/>
    <hyperlink ref="B29:C29" location="'Beer Calc'!I1" display="Beer Calculations"/>
    <hyperlink ref="B37" location="Primer!A1" display="Priming Chart For Beers"/>
    <hyperlink ref="B37:C37" location="Primer!F1" display="Priming Calc's. For Beers Etc."/>
    <hyperlink ref="D40:E40" location="Primer!B51" display="Volume CO2 to PSI or Atm. or Bar "/>
    <hyperlink ref="B34:C34" location="'Gluten-Free'!J1" display="Gluten-Free Beer Calculator"/>
    <hyperlink ref="D49:F49" location="'Wine Calc '!C187" display="Calorie/unit counter."/>
    <hyperlink ref="D50:F50" location="'Wine Calc '!B195" display="Priming Ciders &amp; Sparkling Wines"/>
    <hyperlink ref="D51:F51" location="'Wine Calc '!C206" display="Calorie/unit counter."/>
    <hyperlink ref="D52:F52" location="'Wine Calc '!B215" display="Sugar Solutions (Syrups)"/>
    <hyperlink ref="D53:F53" location="'Wine Calc '!B221" display="Fortifying Wines"/>
    <hyperlink ref="D54:F54" location="'Wine Calc '!B234" display="Technical Section"/>
    <hyperlink ref="D24:F24" location="'Extract Calc'!E4" display="Summary for Finished Beer"/>
    <hyperlink ref="D29:F29" location="'Beer Calc'!E6" display="Summary for Finished Beer"/>
    <hyperlink ref="D31:F31" location="'Beer Calc'!A100" display="Technical Section"/>
    <hyperlink ref="D40:F40" location="Primer!C61" display="Volume CO2 to PSI or Atm. or Bar "/>
    <hyperlink ref="D47:F47" location="'Wine Calc '!I3" display="Summary for Finished Wine"/>
  </hyperlinks>
  <printOptions horizontalCentered="1"/>
  <pageMargins left="0.55118110236220474" right="0.55118110236220474" top="0.39370078740157483" bottom="0.70866141732283472" header="0.19685039370078741" footer="0.31496062992125984"/>
  <pageSetup paperSize="9" scale="88" orientation="portrait" verticalDpi="300" r:id="rId4"/>
  <headerFooter alignWithMargins="0"/>
</worksheet>
</file>

<file path=xl/worksheets/sheet10.xml><?xml version="1.0" encoding="utf-8"?>
<worksheet xmlns="http://schemas.openxmlformats.org/spreadsheetml/2006/main" xmlns:r="http://schemas.openxmlformats.org/officeDocument/2006/relationships">
  <sheetPr enableFormatConditionsCalculation="0">
    <tabColor indexed="10"/>
    <pageSetUpPr fitToPage="1"/>
  </sheetPr>
  <dimension ref="A1:T110"/>
  <sheetViews>
    <sheetView tabSelected="1" zoomScale="75" zoomScaleNormal="75" zoomScaleSheetLayoutView="75" workbookViewId="0">
      <pane ySplit="19" topLeftCell="A38" activePane="bottomLeft" state="frozen"/>
      <selection pane="bottomLeft" activeCell="J13" sqref="J13:R13"/>
    </sheetView>
  </sheetViews>
  <sheetFormatPr defaultColWidth="11.5703125" defaultRowHeight="15"/>
  <cols>
    <col min="1" max="1" width="21.42578125" style="184" customWidth="1"/>
    <col min="2" max="2" width="11.42578125" style="184" customWidth="1"/>
    <col min="3" max="5" width="7" style="184" customWidth="1"/>
    <col min="6" max="6" width="8" style="184" customWidth="1"/>
    <col min="7" max="7" width="8.42578125" style="184" customWidth="1"/>
    <col min="8" max="8" width="8.85546875" style="188" customWidth="1"/>
    <col min="9" max="9" width="7" style="188" customWidth="1"/>
    <col min="10" max="10" width="6.85546875" style="188" customWidth="1"/>
    <col min="11" max="13" width="6.42578125" style="184" hidden="1" customWidth="1"/>
    <col min="14" max="14" width="8.28515625" style="184" customWidth="1"/>
    <col min="15" max="15" width="7.28515625" style="184" hidden="1" customWidth="1"/>
    <col min="16" max="16" width="9.5703125" style="184" customWidth="1"/>
    <col min="17" max="17" width="9" style="188" customWidth="1"/>
    <col min="18" max="18" width="41.5703125" style="188" customWidth="1"/>
    <col min="19" max="19" width="22.42578125" style="188" customWidth="1"/>
    <col min="20" max="20" width="2.42578125" style="188" customWidth="1"/>
    <col min="21" max="16384" width="11.5703125" style="233"/>
  </cols>
  <sheetData>
    <row r="1" spans="1:20" ht="20.25">
      <c r="A1" s="2278" t="s">
        <v>1799</v>
      </c>
      <c r="B1" s="236"/>
      <c r="C1" s="2589"/>
      <c r="D1" s="2589"/>
      <c r="E1" s="2589"/>
      <c r="F1" s="2589"/>
      <c r="G1" s="2589"/>
      <c r="H1" s="4200" t="s">
        <v>1648</v>
      </c>
      <c r="I1" s="4200"/>
      <c r="J1" s="4200"/>
      <c r="K1" s="4200"/>
      <c r="L1" s="4200"/>
      <c r="M1" s="4200"/>
      <c r="N1" s="4200"/>
      <c r="O1" s="4200"/>
      <c r="P1" s="4200"/>
      <c r="Q1" s="1162"/>
      <c r="R1" s="2589"/>
      <c r="S1" s="2864" t="s">
        <v>1798</v>
      </c>
      <c r="T1" s="237"/>
    </row>
    <row r="2" spans="1:20" ht="15.75" customHeight="1">
      <c r="A2" s="2369"/>
      <c r="B2" s="2589"/>
      <c r="C2" s="2589"/>
      <c r="D2" s="2589"/>
      <c r="E2" s="2589"/>
      <c r="F2" s="2589"/>
      <c r="G2" s="2589"/>
      <c r="H2" s="2589"/>
      <c r="I2" s="2589"/>
      <c r="J2" s="2589"/>
      <c r="K2" s="2589"/>
      <c r="L2" s="2589"/>
      <c r="M2" s="2589"/>
      <c r="N2" s="2589"/>
      <c r="O2" s="2589"/>
      <c r="P2" s="2589"/>
      <c r="Q2" s="2589"/>
      <c r="R2" s="2589"/>
      <c r="S2" s="238" t="s">
        <v>155</v>
      </c>
      <c r="T2" s="237"/>
    </row>
    <row r="3" spans="1:20" ht="16.5" customHeight="1">
      <c r="A3" s="4199" t="s">
        <v>1672</v>
      </c>
      <c r="B3" s="2589"/>
      <c r="C3" s="804" t="s">
        <v>23</v>
      </c>
      <c r="D3" s="804" t="s">
        <v>132</v>
      </c>
      <c r="E3" s="804" t="s">
        <v>141</v>
      </c>
      <c r="F3" s="2589"/>
      <c r="G3" s="804" t="s">
        <v>432</v>
      </c>
      <c r="H3" s="1574" t="s">
        <v>949</v>
      </c>
      <c r="I3" s="804" t="s">
        <v>149</v>
      </c>
      <c r="J3" s="2589"/>
      <c r="K3" s="805" t="s">
        <v>287</v>
      </c>
      <c r="L3" s="805" t="s">
        <v>287</v>
      </c>
      <c r="M3" s="805" t="s">
        <v>287</v>
      </c>
      <c r="N3" s="804" t="s">
        <v>432</v>
      </c>
      <c r="O3" s="806"/>
      <c r="P3" s="1573" t="s">
        <v>1671</v>
      </c>
      <c r="Q3" s="804" t="s">
        <v>149</v>
      </c>
      <c r="R3" s="2589"/>
      <c r="S3" s="1341" t="s">
        <v>977</v>
      </c>
      <c r="T3" s="239"/>
    </row>
    <row r="4" spans="1:20" ht="16.5" customHeight="1">
      <c r="A4" s="4199"/>
      <c r="B4" s="2589"/>
      <c r="C4" s="453">
        <f>D4/28.3495</f>
        <v>3.5273990722940442E-2</v>
      </c>
      <c r="D4" s="1245">
        <v>1</v>
      </c>
      <c r="E4" s="450">
        <f>D4*28.3495</f>
        <v>28.349499999999999</v>
      </c>
      <c r="F4" s="2589"/>
      <c r="G4" s="809">
        <f>H4/28.41306</f>
        <v>3.5195082824588407E-2</v>
      </c>
      <c r="H4" s="1245">
        <v>1</v>
      </c>
      <c r="I4" s="810">
        <f>H4*28.41306</f>
        <v>28.413060000000002</v>
      </c>
      <c r="J4" s="2167"/>
      <c r="K4" s="812"/>
      <c r="L4" s="812"/>
      <c r="M4" s="811"/>
      <c r="N4" s="809">
        <f>P4/29.57353</f>
        <v>3.3814022201610693E-2</v>
      </c>
      <c r="O4" s="813"/>
      <c r="P4" s="1245">
        <v>1</v>
      </c>
      <c r="Q4" s="810">
        <f>P4*29.57353</f>
        <v>29.573530000000002</v>
      </c>
      <c r="R4" s="1339"/>
      <c r="S4" s="808"/>
      <c r="T4" s="239"/>
    </row>
    <row r="5" spans="1:20" ht="9" customHeight="1">
      <c r="A5" s="803"/>
      <c r="B5" s="814"/>
      <c r="C5" s="814"/>
      <c r="D5" s="814"/>
      <c r="E5" s="807"/>
      <c r="F5" s="815"/>
      <c r="G5" s="814"/>
      <c r="H5" s="815"/>
      <c r="I5" s="816"/>
      <c r="J5" s="815"/>
      <c r="K5" s="812"/>
      <c r="L5" s="812"/>
      <c r="M5" s="816"/>
      <c r="N5" s="814"/>
      <c r="O5" s="817"/>
      <c r="P5" s="815"/>
      <c r="Q5" s="807"/>
      <c r="R5" s="1339"/>
      <c r="S5" s="808"/>
      <c r="T5" s="237"/>
    </row>
    <row r="6" spans="1:20">
      <c r="A6" s="4208" t="str">
        <f>"This calculator assumes that 1ml = "&amp;Q6&amp;" fl oz, it is the average for the Imperial &amp; US figures.   1ml ="</f>
        <v>This calculator assumes that 1ml = 28.99 fl oz, it is the average for the Imperial &amp; US figures.   1ml =</v>
      </c>
      <c r="B6" s="4208"/>
      <c r="C6" s="4208"/>
      <c r="D6" s="4208"/>
      <c r="E6" s="4208"/>
      <c r="F6" s="4208"/>
      <c r="G6" s="4208"/>
      <c r="H6" s="4208"/>
      <c r="I6" s="4208"/>
      <c r="J6" s="4208"/>
      <c r="K6" s="4208"/>
      <c r="L6" s="4208"/>
      <c r="M6" s="4208"/>
      <c r="N6" s="4208"/>
      <c r="O6" s="4208"/>
      <c r="P6" s="4208"/>
      <c r="Q6" s="1246">
        <v>28.99</v>
      </c>
      <c r="R6" s="1247" t="s">
        <v>1173</v>
      </c>
      <c r="S6" s="244"/>
      <c r="T6" s="237"/>
    </row>
    <row r="7" spans="1:20" ht="8.25" customHeight="1">
      <c r="A7" s="235"/>
      <c r="B7" s="241"/>
      <c r="C7" s="241"/>
      <c r="D7" s="241"/>
      <c r="E7" s="245"/>
      <c r="F7" s="198"/>
      <c r="G7" s="241"/>
      <c r="H7" s="198"/>
      <c r="I7" s="242"/>
      <c r="J7" s="198"/>
      <c r="K7" s="240"/>
      <c r="L7" s="240"/>
      <c r="M7" s="242"/>
      <c r="N7" s="241"/>
      <c r="O7" s="243"/>
      <c r="P7" s="198"/>
      <c r="Q7" s="237"/>
      <c r="R7" s="247"/>
      <c r="S7" s="246"/>
      <c r="T7" s="237"/>
    </row>
    <row r="8" spans="1:20" ht="13.5" customHeight="1">
      <c r="A8" s="803"/>
      <c r="B8" s="807"/>
      <c r="C8" s="4209" t="s">
        <v>1800</v>
      </c>
      <c r="D8" s="4209"/>
      <c r="E8" s="4207" t="s">
        <v>1529</v>
      </c>
      <c r="F8" s="4207"/>
      <c r="G8" s="807"/>
      <c r="H8" s="807"/>
      <c r="I8" s="807"/>
      <c r="J8" s="807"/>
      <c r="K8" s="819" t="s">
        <v>232</v>
      </c>
      <c r="L8" s="819" t="s">
        <v>232</v>
      </c>
      <c r="M8" s="819" t="s">
        <v>232</v>
      </c>
      <c r="N8" s="820"/>
      <c r="O8" s="819"/>
      <c r="P8" s="821"/>
      <c r="Q8" s="818"/>
      <c r="R8" s="2862"/>
      <c r="S8" s="822"/>
      <c r="T8" s="807"/>
    </row>
    <row r="9" spans="1:20" ht="13.5" customHeight="1">
      <c r="A9" s="4206" t="s">
        <v>360</v>
      </c>
      <c r="B9" s="4206"/>
      <c r="C9" s="823">
        <f>E9/28.3495</f>
        <v>23.633573784370096</v>
      </c>
      <c r="D9" s="807" t="s">
        <v>23</v>
      </c>
      <c r="E9" s="2611">
        <f>1*FIXED((SUM(O23:O84)),0)</f>
        <v>670</v>
      </c>
      <c r="F9" s="2863" t="s">
        <v>141</v>
      </c>
      <c r="G9" s="807"/>
      <c r="H9" s="1244"/>
      <c r="I9" s="4214" t="s">
        <v>366</v>
      </c>
      <c r="J9" s="4215"/>
      <c r="K9" s="4215"/>
      <c r="L9" s="4215"/>
      <c r="M9" s="4215"/>
      <c r="N9" s="4215"/>
      <c r="O9" s="4215"/>
      <c r="P9" s="4215"/>
      <c r="Q9" s="4215"/>
      <c r="R9" s="2862"/>
      <c r="S9" s="808"/>
      <c r="T9" s="807"/>
    </row>
    <row r="10" spans="1:20" ht="13.5" customHeight="1">
      <c r="A10" s="4207" t="s">
        <v>361</v>
      </c>
      <c r="B10" s="4207"/>
      <c r="C10" s="823">
        <f>E10/25.77</f>
        <v>2.173069460613116</v>
      </c>
      <c r="D10" s="807" t="s">
        <v>15</v>
      </c>
      <c r="E10" s="2611" t="str">
        <f>FIXED((10+SUM(M23:M84)),0)</f>
        <v>56</v>
      </c>
      <c r="F10" s="2863" t="s">
        <v>149</v>
      </c>
      <c r="G10" s="807"/>
      <c r="H10" s="825"/>
      <c r="I10" s="4214" t="s">
        <v>392</v>
      </c>
      <c r="J10" s="4215"/>
      <c r="K10" s="4215"/>
      <c r="L10" s="4215"/>
      <c r="M10" s="4215"/>
      <c r="N10" s="4215"/>
      <c r="O10" s="4215"/>
      <c r="P10" s="4215"/>
      <c r="Q10" s="4215"/>
      <c r="R10" s="2053"/>
      <c r="S10" s="826"/>
      <c r="T10" s="807"/>
    </row>
    <row r="11" spans="1:20" ht="13.5" customHeight="1">
      <c r="A11" s="2862"/>
      <c r="B11" s="2862"/>
      <c r="C11" s="2862"/>
      <c r="D11" s="807"/>
      <c r="E11" s="2862"/>
      <c r="F11" s="2862"/>
      <c r="G11" s="2862"/>
      <c r="H11" s="2862"/>
      <c r="I11" s="2862"/>
      <c r="J11" s="2862"/>
      <c r="K11" s="2862"/>
      <c r="L11" s="2862"/>
      <c r="M11" s="824"/>
      <c r="N11" s="2862"/>
      <c r="O11" s="2862"/>
      <c r="P11" s="2862"/>
      <c r="Q11" s="2863"/>
      <c r="R11" s="2862"/>
      <c r="S11" s="826"/>
      <c r="T11" s="807"/>
    </row>
    <row r="12" spans="1:20" ht="13.5" customHeight="1">
      <c r="A12" s="4211" t="s">
        <v>1639</v>
      </c>
      <c r="B12" s="4211"/>
      <c r="C12" s="827">
        <v>0</v>
      </c>
      <c r="D12" s="840" t="s">
        <v>23</v>
      </c>
      <c r="E12" s="828">
        <f>C12*28.3495</f>
        <v>0</v>
      </c>
      <c r="F12" s="4212" t="str">
        <f>"g = "&amp;FIXED((C12*28.3495)/4.75)&amp;" level 5ml tsp. approx."</f>
        <v>g = 0.00 level 5ml tsp. approx.</v>
      </c>
      <c r="G12" s="4212"/>
      <c r="H12" s="4212"/>
      <c r="I12" s="4212"/>
      <c r="J12" s="840"/>
      <c r="K12" s="2110"/>
      <c r="L12" s="2110"/>
      <c r="M12" s="2110"/>
      <c r="N12" s="2110"/>
      <c r="O12" s="2110"/>
      <c r="P12" s="2110"/>
      <c r="Q12" s="2110"/>
      <c r="R12" s="2110"/>
      <c r="S12" s="829"/>
      <c r="T12" s="840"/>
    </row>
    <row r="13" spans="1:20" ht="13.5" customHeight="1">
      <c r="A13" s="4212" t="s">
        <v>363</v>
      </c>
      <c r="B13" s="4212"/>
      <c r="C13" s="827">
        <v>0</v>
      </c>
      <c r="D13" s="840" t="s">
        <v>23</v>
      </c>
      <c r="E13" s="828">
        <f>C13*28.3495</f>
        <v>0</v>
      </c>
      <c r="F13" s="4212" t="str">
        <f>"g = "&amp;FIXED(C13*28.3495/4.5)&amp;" level 5ml tsp. approx."</f>
        <v>g = 0.00 level 5ml tsp. approx.</v>
      </c>
      <c r="G13" s="4212"/>
      <c r="H13" s="4212"/>
      <c r="I13" s="4212"/>
      <c r="J13" s="4213" t="s">
        <v>1637</v>
      </c>
      <c r="K13" s="4213"/>
      <c r="L13" s="4213"/>
      <c r="M13" s="4213"/>
      <c r="N13" s="4213"/>
      <c r="O13" s="4213"/>
      <c r="P13" s="4213"/>
      <c r="Q13" s="4213"/>
      <c r="R13" s="4213"/>
      <c r="S13" s="2110"/>
      <c r="T13" s="840"/>
    </row>
    <row r="14" spans="1:20" ht="13.5" customHeight="1">
      <c r="A14" s="830"/>
      <c r="B14" s="830"/>
      <c r="C14" s="830"/>
      <c r="D14" s="2048"/>
      <c r="E14" s="830" t="s">
        <v>167</v>
      </c>
      <c r="F14" s="4210" t="str">
        <f>FIXED(3*C13*28.3495/4.5)&amp;" level tsp liquid pectin approx."</f>
        <v>0.00 level tsp liquid pectin approx.</v>
      </c>
      <c r="G14" s="4210"/>
      <c r="H14" s="4210"/>
      <c r="I14" s="4210"/>
      <c r="J14" s="840"/>
      <c r="K14" s="2110"/>
      <c r="L14" s="2110"/>
      <c r="M14" s="2110"/>
      <c r="N14" s="2110"/>
      <c r="O14" s="2110"/>
      <c r="P14" s="2110"/>
      <c r="Q14" s="2110"/>
      <c r="R14" s="2110"/>
      <c r="S14" s="829"/>
      <c r="T14" s="840"/>
    </row>
    <row r="15" spans="1:20" ht="13.9" customHeight="1">
      <c r="A15" s="830"/>
      <c r="B15" s="830"/>
      <c r="C15" s="830"/>
      <c r="D15" s="830"/>
      <c r="E15" s="2953" t="s">
        <v>1824</v>
      </c>
      <c r="F15" s="2591"/>
      <c r="G15" s="831"/>
      <c r="H15" s="831"/>
      <c r="I15" s="831"/>
      <c r="J15" s="2110"/>
      <c r="K15" s="2110"/>
      <c r="L15" s="2110"/>
      <c r="M15" s="2110"/>
      <c r="N15" s="2110"/>
      <c r="O15" s="2110"/>
      <c r="P15" s="2110"/>
      <c r="Q15" s="829"/>
      <c r="R15" s="829"/>
      <c r="S15" s="2049"/>
      <c r="T15" s="840"/>
    </row>
    <row r="16" spans="1:20" ht="13.9" customHeight="1">
      <c r="A16" s="4212" t="s">
        <v>364</v>
      </c>
      <c r="B16" s="4212"/>
      <c r="C16" s="828">
        <f>(C12*28.3495+SUM(L23:L84))/28.3495</f>
        <v>0.4632</v>
      </c>
      <c r="D16" s="2591" t="s">
        <v>23</v>
      </c>
      <c r="E16" s="832">
        <f>C16*28.3495</f>
        <v>13.1314884</v>
      </c>
      <c r="F16" s="4219" t="str">
        <f>"g = "&amp;FIXED(100*$E$16/$E$18)&amp;"%. Which is"</f>
        <v>g = 1.23%. Which is</v>
      </c>
      <c r="G16" s="4219"/>
      <c r="H16" s="4219"/>
      <c r="I16" s="4217" t="str">
        <f>IF((100*$E$16/$E$18)&gt;1.3,"Very High",IF((100*$E$16/$E$18)&gt;1.1,"High",IF((100*$E$16/$E$18)&gt;0.69,"Medium",IF((100*$E$16/$E$18)&gt;0.49,"Low",IF((100*$E$16/$E$18)&gt;0,"Very Low")))))</f>
        <v>High</v>
      </c>
      <c r="J16" s="4217"/>
      <c r="K16" s="2110"/>
      <c r="L16" s="2110"/>
      <c r="M16" s="2110"/>
      <c r="N16" s="4218" t="s">
        <v>1638</v>
      </c>
      <c r="O16" s="4218"/>
      <c r="P16" s="4218"/>
      <c r="Q16" s="4218"/>
      <c r="R16" s="4218"/>
      <c r="S16" s="833"/>
      <c r="T16" s="2592"/>
    </row>
    <row r="17" spans="1:20" ht="13.9" customHeight="1">
      <c r="A17" s="4212" t="s">
        <v>365</v>
      </c>
      <c r="B17" s="4212"/>
      <c r="C17" s="828">
        <f>(C13*28.3495+SUM(K23:K84))/28.3495</f>
        <v>0.25319999999999998</v>
      </c>
      <c r="D17" s="2591" t="s">
        <v>23</v>
      </c>
      <c r="E17" s="832">
        <f>C17*28.3495</f>
        <v>7.178093399999999</v>
      </c>
      <c r="F17" s="4219" t="str">
        <f>"g = "&amp;FIXED(100*$E$17/$E$18)&amp;"%. Which is"</f>
        <v>g = 0.67%. Which is</v>
      </c>
      <c r="G17" s="4219"/>
      <c r="H17" s="4219"/>
      <c r="I17" s="4217" t="str">
        <f>IF((100*$E$17/$E$18)&gt;0.89,"Very High",IF((100*$E$17/$E$18)&gt;0.59,"High",IF((100*$E$17/$E$18)&gt;0.29,"Medium",IF((100*$E$17/$E$18)&gt;0.19,"Low",IF((100*$E$17/$E$18)&gt;0,"Very Low")))))</f>
        <v>High</v>
      </c>
      <c r="J17" s="4217"/>
      <c r="K17" s="840"/>
      <c r="L17" s="2050"/>
      <c r="M17" s="2050"/>
      <c r="N17" s="4218"/>
      <c r="O17" s="4218"/>
      <c r="P17" s="4218"/>
      <c r="Q17" s="4218"/>
      <c r="R17" s="4218"/>
      <c r="S17" s="833"/>
      <c r="T17" s="2592"/>
    </row>
    <row r="18" spans="1:20" ht="13.9" customHeight="1">
      <c r="A18" s="4212" t="s">
        <v>1802</v>
      </c>
      <c r="B18" s="4212"/>
      <c r="C18" s="834">
        <f>E18/Q6</f>
        <v>36.90927906174543</v>
      </c>
      <c r="D18" s="2881" t="s">
        <v>1801</v>
      </c>
      <c r="E18" s="834">
        <f>1*FIXED((0.625*E9+E10+SUM(G23:G84)),-1)</f>
        <v>1070</v>
      </c>
      <c r="F18" s="4212" t="s">
        <v>370</v>
      </c>
      <c r="G18" s="4212"/>
      <c r="H18" s="835"/>
      <c r="I18" s="834"/>
      <c r="J18" s="2590"/>
      <c r="K18" s="840"/>
      <c r="L18" s="2050"/>
      <c r="M18" s="2050"/>
      <c r="N18" s="2051"/>
      <c r="O18" s="2050"/>
      <c r="P18" s="2050"/>
      <c r="Q18" s="840"/>
      <c r="R18" s="836"/>
      <c r="S18" s="2049"/>
      <c r="T18" s="840"/>
    </row>
    <row r="19" spans="1:20" ht="13.9" customHeight="1">
      <c r="A19" s="4203" t="s">
        <v>1803</v>
      </c>
      <c r="B19" s="4220"/>
      <c r="C19" s="2052">
        <f>3*E18/Q6</f>
        <v>110.7278371852363</v>
      </c>
      <c r="D19" s="2648" t="s">
        <v>1736</v>
      </c>
      <c r="E19" s="2715">
        <f>0.003*E18</f>
        <v>3.21</v>
      </c>
      <c r="F19" s="4203" t="s">
        <v>796</v>
      </c>
      <c r="G19" s="4203"/>
      <c r="H19" s="4203"/>
      <c r="I19" s="4203"/>
      <c r="J19" s="4203"/>
      <c r="K19" s="4203"/>
      <c r="L19" s="4203"/>
      <c r="M19" s="4203"/>
      <c r="N19" s="4203"/>
      <c r="O19" s="2050"/>
      <c r="P19" s="837"/>
      <c r="Q19" s="838"/>
      <c r="R19" s="836"/>
      <c r="S19" s="2049"/>
      <c r="T19" s="840"/>
    </row>
    <row r="20" spans="1:20" ht="6.75" customHeight="1">
      <c r="A20" s="839"/>
      <c r="B20" s="840"/>
      <c r="C20" s="840"/>
      <c r="D20" s="840"/>
      <c r="E20" s="840"/>
      <c r="F20" s="840"/>
      <c r="G20" s="840"/>
      <c r="H20" s="840"/>
      <c r="I20" s="840"/>
      <c r="J20" s="840"/>
      <c r="K20" s="840"/>
      <c r="L20" s="2050"/>
      <c r="M20" s="2050"/>
      <c r="N20" s="2050"/>
      <c r="O20" s="2050"/>
      <c r="P20" s="2050"/>
      <c r="Q20" s="840"/>
      <c r="R20" s="840"/>
      <c r="S20" s="2049"/>
      <c r="T20" s="840"/>
    </row>
    <row r="21" spans="1:20" ht="13.9" customHeight="1">
      <c r="A21" s="4221" t="s">
        <v>334</v>
      </c>
      <c r="B21" s="4222"/>
      <c r="C21" s="4224" t="s">
        <v>132</v>
      </c>
      <c r="D21" s="4225"/>
      <c r="E21" s="2139" t="s">
        <v>132</v>
      </c>
      <c r="F21" s="2139" t="s">
        <v>335</v>
      </c>
      <c r="G21" s="2139" t="s">
        <v>336</v>
      </c>
      <c r="H21" s="2154" t="s">
        <v>337</v>
      </c>
      <c r="I21" s="2155" t="s">
        <v>403</v>
      </c>
      <c r="J21" s="2156" t="s">
        <v>338</v>
      </c>
      <c r="K21" s="2157" t="s">
        <v>403</v>
      </c>
      <c r="L21" s="2157" t="s">
        <v>140</v>
      </c>
      <c r="M21" s="2158" t="s">
        <v>338</v>
      </c>
      <c r="N21" s="2156" t="s">
        <v>400</v>
      </c>
      <c r="O21" s="2159" t="s">
        <v>400</v>
      </c>
      <c r="P21" s="2156" t="s">
        <v>339</v>
      </c>
      <c r="Q21" s="187"/>
      <c r="R21" s="187"/>
      <c r="S21" s="187"/>
      <c r="T21" s="187"/>
    </row>
    <row r="22" spans="1:20" ht="13.9" customHeight="1">
      <c r="A22" s="4223"/>
      <c r="B22" s="4222"/>
      <c r="C22" s="2160" t="s">
        <v>295</v>
      </c>
      <c r="D22" s="2161" t="s">
        <v>23</v>
      </c>
      <c r="E22" s="2140" t="s">
        <v>141</v>
      </c>
      <c r="F22" s="2140" t="s">
        <v>340</v>
      </c>
      <c r="G22" s="2140" t="s">
        <v>132</v>
      </c>
      <c r="H22" s="2140" t="s">
        <v>142</v>
      </c>
      <c r="I22" s="2162" t="s">
        <v>142</v>
      </c>
      <c r="J22" s="2163" t="s">
        <v>340</v>
      </c>
      <c r="K22" s="2164" t="s">
        <v>141</v>
      </c>
      <c r="L22" s="2164" t="s">
        <v>141</v>
      </c>
      <c r="M22" s="2165" t="s">
        <v>341</v>
      </c>
      <c r="N22" s="2163" t="s">
        <v>340</v>
      </c>
      <c r="O22" s="2166" t="s">
        <v>783</v>
      </c>
      <c r="P22" s="2163" t="s">
        <v>342</v>
      </c>
      <c r="Q22" s="187"/>
      <c r="R22" s="187"/>
      <c r="S22" s="187"/>
      <c r="T22" s="187"/>
    </row>
    <row r="23" spans="1:20" ht="13.9" customHeight="1">
      <c r="A23" s="2141" t="s">
        <v>434</v>
      </c>
      <c r="B23" s="2142" t="s">
        <v>435</v>
      </c>
      <c r="C23" s="2009"/>
      <c r="D23" s="2010">
        <v>12</v>
      </c>
      <c r="E23" s="2865">
        <f t="shared" ref="E23:E84" si="0">(C23*16+D23)*28.3495</f>
        <v>340.19399999999996</v>
      </c>
      <c r="F23" s="2011">
        <v>1.2</v>
      </c>
      <c r="G23" s="2012">
        <f t="shared" ref="G23:G54" si="1">IF(F23=0,0,E23/F23)</f>
        <v>283.495</v>
      </c>
      <c r="H23" s="2013">
        <v>1.2</v>
      </c>
      <c r="I23" s="2013">
        <v>0.75</v>
      </c>
      <c r="J23" s="2014">
        <v>0</v>
      </c>
      <c r="K23" s="2015">
        <f t="shared" ref="K23:K39" si="2">0.01*E23*F23*I23</f>
        <v>3.0617459999999994</v>
      </c>
      <c r="L23" s="2015">
        <f t="shared" ref="L23:L39" si="3">0.01*E23*F23*H23</f>
        <v>4.8987935999999994</v>
      </c>
      <c r="M23" s="2016">
        <f t="shared" ref="M23:M54" si="4">J23*G23</f>
        <v>0</v>
      </c>
      <c r="N23" s="2014">
        <v>1</v>
      </c>
      <c r="O23" s="2015">
        <f t="shared" ref="O23:O54" si="5">G23*N23</f>
        <v>283.495</v>
      </c>
      <c r="P23" s="2015">
        <v>30</v>
      </c>
      <c r="Q23" s="180"/>
      <c r="R23" s="180"/>
      <c r="S23" s="182"/>
      <c r="T23" s="177"/>
    </row>
    <row r="24" spans="1:20" ht="13.9" customHeight="1">
      <c r="A24" s="2143"/>
      <c r="B24" s="2144" t="s">
        <v>438</v>
      </c>
      <c r="C24" s="2026"/>
      <c r="D24" s="2027"/>
      <c r="E24" s="2866">
        <f t="shared" si="0"/>
        <v>0</v>
      </c>
      <c r="F24" s="2028">
        <v>1.2</v>
      </c>
      <c r="G24" s="2029">
        <f t="shared" si="1"/>
        <v>0</v>
      </c>
      <c r="H24" s="2025">
        <v>0.7</v>
      </c>
      <c r="I24" s="2030">
        <v>0.7</v>
      </c>
      <c r="J24" s="2031">
        <v>0</v>
      </c>
      <c r="K24" s="2032">
        <f t="shared" si="2"/>
        <v>0</v>
      </c>
      <c r="L24" s="2032">
        <f t="shared" si="3"/>
        <v>0</v>
      </c>
      <c r="M24" s="2033">
        <f t="shared" si="4"/>
        <v>0</v>
      </c>
      <c r="N24" s="2031">
        <v>1</v>
      </c>
      <c r="O24" s="2032">
        <f t="shared" si="5"/>
        <v>0</v>
      </c>
      <c r="P24" s="2032">
        <v>30</v>
      </c>
      <c r="Q24" s="180"/>
      <c r="R24" s="180"/>
      <c r="S24" s="182"/>
      <c r="T24" s="177"/>
    </row>
    <row r="25" spans="1:20" ht="13.9" customHeight="1">
      <c r="A25" s="2143" t="s">
        <v>443</v>
      </c>
      <c r="B25" s="2145" t="s">
        <v>343</v>
      </c>
      <c r="C25" s="2026"/>
      <c r="D25" s="2027"/>
      <c r="E25" s="2866">
        <f t="shared" si="0"/>
        <v>0</v>
      </c>
      <c r="F25" s="2028">
        <v>1.1000000000000001</v>
      </c>
      <c r="G25" s="2029">
        <f t="shared" si="1"/>
        <v>0</v>
      </c>
      <c r="H25" s="2025">
        <v>1.2</v>
      </c>
      <c r="I25" s="2030">
        <v>0.35</v>
      </c>
      <c r="J25" s="2031">
        <v>0.09</v>
      </c>
      <c r="K25" s="2032">
        <f t="shared" si="2"/>
        <v>0</v>
      </c>
      <c r="L25" s="2032">
        <f t="shared" si="3"/>
        <v>0</v>
      </c>
      <c r="M25" s="2033">
        <f t="shared" si="4"/>
        <v>0</v>
      </c>
      <c r="N25" s="2031">
        <v>0.85</v>
      </c>
      <c r="O25" s="2032">
        <f t="shared" si="5"/>
        <v>0</v>
      </c>
      <c r="P25" s="2032">
        <v>35</v>
      </c>
      <c r="Q25" s="180"/>
      <c r="R25" s="180"/>
      <c r="S25" s="182"/>
      <c r="T25" s="177"/>
    </row>
    <row r="26" spans="1:20" ht="13.9" customHeight="1">
      <c r="A26" s="2143"/>
      <c r="B26" s="2145" t="s">
        <v>344</v>
      </c>
      <c r="C26" s="2026"/>
      <c r="D26" s="2027"/>
      <c r="E26" s="2866">
        <f t="shared" si="0"/>
        <v>0</v>
      </c>
      <c r="F26" s="2028">
        <v>1.1000000000000001</v>
      </c>
      <c r="G26" s="2029">
        <f t="shared" si="1"/>
        <v>0</v>
      </c>
      <c r="H26" s="2025">
        <v>1.2</v>
      </c>
      <c r="I26" s="2030">
        <v>0.35</v>
      </c>
      <c r="J26" s="2031">
        <v>0.15</v>
      </c>
      <c r="K26" s="2032">
        <f t="shared" si="2"/>
        <v>0</v>
      </c>
      <c r="L26" s="2032">
        <f t="shared" si="3"/>
        <v>0</v>
      </c>
      <c r="M26" s="2033">
        <f t="shared" si="4"/>
        <v>0</v>
      </c>
      <c r="N26" s="2031">
        <v>0.85</v>
      </c>
      <c r="O26" s="2032">
        <f t="shared" si="5"/>
        <v>0</v>
      </c>
      <c r="P26" s="2032">
        <v>35</v>
      </c>
      <c r="Q26" s="180"/>
      <c r="R26" s="180"/>
      <c r="S26" s="182"/>
      <c r="T26" s="177"/>
    </row>
    <row r="27" spans="1:20" ht="13.9" customHeight="1">
      <c r="A27" s="2143"/>
      <c r="B27" s="2144" t="s">
        <v>445</v>
      </c>
      <c r="C27" s="2026"/>
      <c r="D27" s="2027"/>
      <c r="E27" s="2866">
        <f t="shared" si="0"/>
        <v>0</v>
      </c>
      <c r="F27" s="2028">
        <v>1</v>
      </c>
      <c r="G27" s="2029">
        <f t="shared" si="1"/>
        <v>0</v>
      </c>
      <c r="H27" s="2025">
        <v>3.6</v>
      </c>
      <c r="I27" s="2030">
        <v>1.05</v>
      </c>
      <c r="J27" s="2031">
        <v>3</v>
      </c>
      <c r="K27" s="2032">
        <f t="shared" si="2"/>
        <v>0</v>
      </c>
      <c r="L27" s="2032">
        <f t="shared" si="3"/>
        <v>0</v>
      </c>
      <c r="M27" s="2033">
        <f t="shared" si="4"/>
        <v>0</v>
      </c>
      <c r="N27" s="2031">
        <v>2</v>
      </c>
      <c r="O27" s="2032">
        <f t="shared" si="5"/>
        <v>0</v>
      </c>
      <c r="P27" s="2032" t="s">
        <v>345</v>
      </c>
      <c r="Q27" s="180"/>
      <c r="R27" s="180"/>
      <c r="S27" s="182"/>
      <c r="T27" s="177"/>
    </row>
    <row r="28" spans="1:20" ht="13.9" customHeight="1">
      <c r="A28" s="2143" t="s">
        <v>446</v>
      </c>
      <c r="B28" s="2144" t="s">
        <v>444</v>
      </c>
      <c r="C28" s="2026"/>
      <c r="D28" s="2027"/>
      <c r="E28" s="2866">
        <f t="shared" si="0"/>
        <v>0</v>
      </c>
      <c r="F28" s="2028">
        <v>1.5</v>
      </c>
      <c r="G28" s="2029">
        <f t="shared" si="1"/>
        <v>0</v>
      </c>
      <c r="H28" s="2025">
        <v>0.35</v>
      </c>
      <c r="I28" s="2025">
        <v>0.55000000000000004</v>
      </c>
      <c r="J28" s="2031">
        <v>0</v>
      </c>
      <c r="K28" s="2032">
        <f t="shared" si="2"/>
        <v>0</v>
      </c>
      <c r="L28" s="2032">
        <f t="shared" si="3"/>
        <v>0</v>
      </c>
      <c r="M28" s="2033">
        <f t="shared" si="4"/>
        <v>0</v>
      </c>
      <c r="N28" s="2031">
        <v>1</v>
      </c>
      <c r="O28" s="2032">
        <f t="shared" si="5"/>
        <v>0</v>
      </c>
      <c r="P28" s="2032">
        <v>30</v>
      </c>
      <c r="Q28" s="180"/>
      <c r="R28" s="180"/>
      <c r="S28" s="182"/>
      <c r="T28" s="177"/>
    </row>
    <row r="29" spans="1:20" ht="13.9" customHeight="1">
      <c r="A29" s="2143" t="s">
        <v>447</v>
      </c>
      <c r="B29" s="2145"/>
      <c r="C29" s="2026"/>
      <c r="D29" s="2027"/>
      <c r="E29" s="2866">
        <f t="shared" si="0"/>
        <v>0</v>
      </c>
      <c r="F29" s="2028">
        <v>1</v>
      </c>
      <c r="G29" s="2029">
        <f t="shared" si="1"/>
        <v>0</v>
      </c>
      <c r="H29" s="2025">
        <v>0.95</v>
      </c>
      <c r="I29" s="2030">
        <v>0.8</v>
      </c>
      <c r="J29" s="2031">
        <v>0</v>
      </c>
      <c r="K29" s="2032">
        <f t="shared" si="2"/>
        <v>0</v>
      </c>
      <c r="L29" s="2032">
        <f t="shared" si="3"/>
        <v>0</v>
      </c>
      <c r="M29" s="2033">
        <f t="shared" si="4"/>
        <v>0</v>
      </c>
      <c r="N29" s="2031">
        <v>1</v>
      </c>
      <c r="O29" s="2032">
        <f t="shared" si="5"/>
        <v>0</v>
      </c>
      <c r="P29" s="2032">
        <v>20</v>
      </c>
      <c r="Q29" s="180"/>
      <c r="R29" s="180"/>
      <c r="S29" s="182"/>
      <c r="T29" s="177"/>
    </row>
    <row r="30" spans="1:20" ht="13.9" customHeight="1">
      <c r="A30" s="2143" t="s">
        <v>448</v>
      </c>
      <c r="B30" s="2145"/>
      <c r="C30" s="2026"/>
      <c r="D30" s="2027"/>
      <c r="E30" s="2866">
        <f t="shared" si="0"/>
        <v>0</v>
      </c>
      <c r="F30" s="2028">
        <v>1</v>
      </c>
      <c r="G30" s="2029">
        <f t="shared" si="1"/>
        <v>0</v>
      </c>
      <c r="H30" s="2025">
        <v>1.1000000000000001</v>
      </c>
      <c r="I30" s="2025">
        <v>0.8</v>
      </c>
      <c r="J30" s="2031">
        <v>0</v>
      </c>
      <c r="K30" s="2032">
        <f t="shared" si="2"/>
        <v>0</v>
      </c>
      <c r="L30" s="2032">
        <f t="shared" si="3"/>
        <v>0</v>
      </c>
      <c r="M30" s="2033">
        <f t="shared" si="4"/>
        <v>0</v>
      </c>
      <c r="N30" s="2031">
        <v>1</v>
      </c>
      <c r="O30" s="2032">
        <f t="shared" si="5"/>
        <v>0</v>
      </c>
      <c r="P30" s="2032">
        <v>25</v>
      </c>
      <c r="Q30" s="180"/>
      <c r="R30" s="180"/>
      <c r="S30" s="182"/>
      <c r="T30" s="177"/>
    </row>
    <row r="31" spans="1:20" ht="13.9" customHeight="1">
      <c r="A31" s="2143" t="s">
        <v>450</v>
      </c>
      <c r="B31" s="2145"/>
      <c r="C31" s="2026"/>
      <c r="D31" s="2027"/>
      <c r="E31" s="2866">
        <f t="shared" si="0"/>
        <v>0</v>
      </c>
      <c r="F31" s="2028">
        <v>1</v>
      </c>
      <c r="G31" s="2029">
        <f t="shared" si="1"/>
        <v>0</v>
      </c>
      <c r="H31" s="2025">
        <v>3.5</v>
      </c>
      <c r="I31" s="2025">
        <v>1.1000000000000001</v>
      </c>
      <c r="J31" s="2031">
        <v>0.4</v>
      </c>
      <c r="K31" s="2032">
        <f t="shared" si="2"/>
        <v>0</v>
      </c>
      <c r="L31" s="2032">
        <f t="shared" si="3"/>
        <v>0</v>
      </c>
      <c r="M31" s="2033">
        <f t="shared" si="4"/>
        <v>0</v>
      </c>
      <c r="N31" s="2031">
        <v>1.25</v>
      </c>
      <c r="O31" s="2032">
        <f t="shared" si="5"/>
        <v>0</v>
      </c>
      <c r="P31" s="2032" t="s">
        <v>346</v>
      </c>
      <c r="Q31" s="180"/>
      <c r="R31" s="180"/>
      <c r="S31" s="182"/>
      <c r="T31" s="177"/>
    </row>
    <row r="32" spans="1:20" ht="13.9" customHeight="1">
      <c r="A32" s="2143" t="s">
        <v>451</v>
      </c>
      <c r="B32" s="2145"/>
      <c r="C32" s="2026"/>
      <c r="D32" s="2027"/>
      <c r="E32" s="2866">
        <f t="shared" si="0"/>
        <v>0</v>
      </c>
      <c r="F32" s="2028">
        <v>1</v>
      </c>
      <c r="G32" s="2029">
        <f t="shared" si="1"/>
        <v>0</v>
      </c>
      <c r="H32" s="2025">
        <v>0.3</v>
      </c>
      <c r="I32" s="2030">
        <v>0.8</v>
      </c>
      <c r="J32" s="2031">
        <v>0</v>
      </c>
      <c r="K32" s="2032">
        <f t="shared" si="2"/>
        <v>0</v>
      </c>
      <c r="L32" s="2032">
        <f t="shared" si="3"/>
        <v>0</v>
      </c>
      <c r="M32" s="2033">
        <f t="shared" si="4"/>
        <v>0</v>
      </c>
      <c r="N32" s="2031">
        <v>1</v>
      </c>
      <c r="O32" s="2032">
        <f t="shared" si="5"/>
        <v>0</v>
      </c>
      <c r="P32" s="2032">
        <v>20</v>
      </c>
      <c r="Q32" s="180"/>
      <c r="R32" s="180"/>
      <c r="S32" s="182"/>
      <c r="T32" s="177"/>
    </row>
    <row r="33" spans="1:20" ht="13.9" customHeight="1">
      <c r="A33" s="2143" t="s">
        <v>452</v>
      </c>
      <c r="B33" s="2144" t="s">
        <v>453</v>
      </c>
      <c r="C33" s="2026"/>
      <c r="D33" s="2027"/>
      <c r="E33" s="2866">
        <f t="shared" si="0"/>
        <v>0</v>
      </c>
      <c r="F33" s="2028">
        <v>1.1499999999999999</v>
      </c>
      <c r="G33" s="2029">
        <f t="shared" si="1"/>
        <v>0</v>
      </c>
      <c r="H33" s="2025">
        <v>0.5</v>
      </c>
      <c r="I33" s="2025">
        <v>0.25</v>
      </c>
      <c r="J33" s="2031">
        <v>0</v>
      </c>
      <c r="K33" s="2032">
        <f t="shared" si="2"/>
        <v>0</v>
      </c>
      <c r="L33" s="2032">
        <f t="shared" si="3"/>
        <v>0</v>
      </c>
      <c r="M33" s="2033">
        <f t="shared" si="4"/>
        <v>0</v>
      </c>
      <c r="N33" s="2031">
        <v>0.65</v>
      </c>
      <c r="O33" s="2032">
        <f t="shared" si="5"/>
        <v>0</v>
      </c>
      <c r="P33" s="2032" t="s">
        <v>347</v>
      </c>
      <c r="Q33" s="180"/>
      <c r="R33" s="180"/>
      <c r="S33" s="182"/>
      <c r="T33" s="177"/>
    </row>
    <row r="34" spans="1:20" ht="13.5" customHeight="1">
      <c r="A34" s="2143"/>
      <c r="B34" s="2144" t="s">
        <v>454</v>
      </c>
      <c r="C34" s="2026"/>
      <c r="D34" s="2027"/>
      <c r="E34" s="2866">
        <f t="shared" si="0"/>
        <v>0</v>
      </c>
      <c r="F34" s="2028">
        <v>1.1499999999999999</v>
      </c>
      <c r="G34" s="2029">
        <f t="shared" si="1"/>
        <v>0</v>
      </c>
      <c r="H34" s="2025">
        <v>0.5</v>
      </c>
      <c r="I34" s="2030">
        <v>0.25</v>
      </c>
      <c r="J34" s="2031">
        <v>0</v>
      </c>
      <c r="K34" s="2032">
        <f t="shared" si="2"/>
        <v>0</v>
      </c>
      <c r="L34" s="2032">
        <f t="shared" si="3"/>
        <v>0</v>
      </c>
      <c r="M34" s="2033">
        <f t="shared" si="4"/>
        <v>0</v>
      </c>
      <c r="N34" s="2031">
        <v>0.65</v>
      </c>
      <c r="O34" s="2032">
        <f t="shared" si="5"/>
        <v>0</v>
      </c>
      <c r="P34" s="2032" t="s">
        <v>347</v>
      </c>
      <c r="Q34" s="180"/>
      <c r="R34" s="180"/>
      <c r="S34" s="182"/>
      <c r="T34" s="177"/>
    </row>
    <row r="35" spans="1:20" ht="13.9" customHeight="1">
      <c r="A35" s="2143" t="s">
        <v>455</v>
      </c>
      <c r="B35" s="2145"/>
      <c r="C35" s="2026"/>
      <c r="D35" s="2027"/>
      <c r="E35" s="2866">
        <f t="shared" si="0"/>
        <v>0</v>
      </c>
      <c r="F35" s="2028">
        <v>1</v>
      </c>
      <c r="G35" s="2029">
        <f t="shared" si="1"/>
        <v>0</v>
      </c>
      <c r="H35" s="2025">
        <v>3</v>
      </c>
      <c r="I35" s="2030">
        <v>0.8</v>
      </c>
      <c r="J35" s="2031">
        <v>0</v>
      </c>
      <c r="K35" s="2028">
        <f t="shared" si="2"/>
        <v>0</v>
      </c>
      <c r="L35" s="2028">
        <f t="shared" si="3"/>
        <v>0</v>
      </c>
      <c r="M35" s="2033">
        <f t="shared" si="4"/>
        <v>0</v>
      </c>
      <c r="N35" s="2031">
        <v>1.25</v>
      </c>
      <c r="O35" s="2032">
        <f t="shared" si="5"/>
        <v>0</v>
      </c>
      <c r="P35" s="2032">
        <v>35</v>
      </c>
      <c r="Q35" s="180"/>
      <c r="R35" s="180"/>
      <c r="S35" s="182"/>
      <c r="T35" s="177"/>
    </row>
    <row r="36" spans="1:20" ht="13.5" customHeight="1">
      <c r="A36" s="2143" t="s">
        <v>456</v>
      </c>
      <c r="B36" s="2145" t="s">
        <v>343</v>
      </c>
      <c r="C36" s="2026"/>
      <c r="D36" s="2027">
        <v>12</v>
      </c>
      <c r="E36" s="2866">
        <f t="shared" si="0"/>
        <v>340.19399999999996</v>
      </c>
      <c r="F36" s="2028">
        <v>1.1000000000000001</v>
      </c>
      <c r="G36" s="2029">
        <f>IF(F36=0,0,E36/F36)</f>
        <v>309.26727272727265</v>
      </c>
      <c r="H36" s="2025">
        <v>2.2000000000000002</v>
      </c>
      <c r="I36" s="2025">
        <v>1.1000000000000001</v>
      </c>
      <c r="J36" s="2031">
        <v>0.15</v>
      </c>
      <c r="K36" s="2028">
        <f>0.01*E36*F36*I36</f>
        <v>4.1163474000000004</v>
      </c>
      <c r="L36" s="2028">
        <f>0.01*E36*F36*H36</f>
        <v>8.2326948000000009</v>
      </c>
      <c r="M36" s="2033">
        <f t="shared" si="4"/>
        <v>46.390090909090894</v>
      </c>
      <c r="N36" s="2031">
        <v>1.25</v>
      </c>
      <c r="O36" s="2032">
        <f t="shared" si="5"/>
        <v>386.58409090909083</v>
      </c>
      <c r="P36" s="2032" t="s">
        <v>348</v>
      </c>
      <c r="Q36" s="180"/>
      <c r="R36" s="180"/>
      <c r="S36" s="182"/>
      <c r="T36" s="177"/>
    </row>
    <row r="37" spans="1:20" ht="13.9" customHeight="1">
      <c r="A37" s="2143"/>
      <c r="B37" s="2145" t="s">
        <v>344</v>
      </c>
      <c r="C37" s="2026"/>
      <c r="D37" s="2027"/>
      <c r="E37" s="2866">
        <f t="shared" si="0"/>
        <v>0</v>
      </c>
      <c r="F37" s="2028">
        <v>1.1000000000000001</v>
      </c>
      <c r="G37" s="2029">
        <f>IF(F37=0,0,E37/F37)</f>
        <v>0</v>
      </c>
      <c r="H37" s="2025">
        <v>2.2999999999999998</v>
      </c>
      <c r="I37" s="2025">
        <v>1.2</v>
      </c>
      <c r="J37" s="2031">
        <v>0.3</v>
      </c>
      <c r="K37" s="2028">
        <f>0.01*E37*F37*I37</f>
        <v>0</v>
      </c>
      <c r="L37" s="2028">
        <f>0.01*E37*F37*H37</f>
        <v>0</v>
      </c>
      <c r="M37" s="2033">
        <f t="shared" si="4"/>
        <v>0</v>
      </c>
      <c r="N37" s="2031">
        <v>1.5</v>
      </c>
      <c r="O37" s="2032">
        <f t="shared" si="5"/>
        <v>0</v>
      </c>
      <c r="P37" s="2032" t="s">
        <v>348</v>
      </c>
      <c r="Q37" s="180"/>
      <c r="R37" s="180"/>
      <c r="S37" s="182"/>
      <c r="T37" s="177"/>
    </row>
    <row r="38" spans="1:20" ht="13.9" customHeight="1">
      <c r="A38" s="2143" t="s">
        <v>458</v>
      </c>
      <c r="B38" s="2145"/>
      <c r="C38" s="2026"/>
      <c r="D38" s="2027"/>
      <c r="E38" s="2866">
        <f t="shared" si="0"/>
        <v>0</v>
      </c>
      <c r="F38" s="2028">
        <v>1</v>
      </c>
      <c r="G38" s="2029">
        <f t="shared" si="1"/>
        <v>0</v>
      </c>
      <c r="H38" s="2025">
        <v>1.05</v>
      </c>
      <c r="I38" s="2030">
        <v>0.8</v>
      </c>
      <c r="J38" s="2031">
        <v>0</v>
      </c>
      <c r="K38" s="2028">
        <f t="shared" si="2"/>
        <v>0</v>
      </c>
      <c r="L38" s="2028">
        <f t="shared" si="3"/>
        <v>0</v>
      </c>
      <c r="M38" s="2033">
        <f t="shared" si="4"/>
        <v>0</v>
      </c>
      <c r="N38" s="2031">
        <v>1</v>
      </c>
      <c r="O38" s="2032">
        <f t="shared" si="5"/>
        <v>0</v>
      </c>
      <c r="P38" s="2032">
        <v>25</v>
      </c>
      <c r="Q38" s="180"/>
      <c r="R38" s="180"/>
      <c r="S38" s="182"/>
      <c r="T38" s="177"/>
    </row>
    <row r="39" spans="1:20" ht="13.9" customHeight="1">
      <c r="A39" s="2146" t="s">
        <v>460</v>
      </c>
      <c r="B39" s="2145"/>
      <c r="C39" s="2026"/>
      <c r="D39" s="2027"/>
      <c r="E39" s="2866">
        <f t="shared" si="0"/>
        <v>0</v>
      </c>
      <c r="F39" s="2028">
        <v>1</v>
      </c>
      <c r="G39" s="2029">
        <f t="shared" si="1"/>
        <v>0</v>
      </c>
      <c r="H39" s="2025">
        <v>0.4</v>
      </c>
      <c r="I39" s="2030">
        <v>0.8</v>
      </c>
      <c r="J39" s="2031">
        <v>0</v>
      </c>
      <c r="K39" s="2028">
        <f t="shared" si="2"/>
        <v>0</v>
      </c>
      <c r="L39" s="2028">
        <f t="shared" si="3"/>
        <v>0</v>
      </c>
      <c r="M39" s="2033">
        <f t="shared" si="4"/>
        <v>0</v>
      </c>
      <c r="N39" s="2031">
        <v>1</v>
      </c>
      <c r="O39" s="2032">
        <f t="shared" si="5"/>
        <v>0</v>
      </c>
      <c r="P39" s="2032">
        <v>45</v>
      </c>
      <c r="Q39" s="180"/>
      <c r="R39" s="180"/>
      <c r="S39" s="182"/>
      <c r="T39" s="177"/>
    </row>
    <row r="40" spans="1:20" ht="13.9" customHeight="1">
      <c r="A40" s="2143" t="s">
        <v>461</v>
      </c>
      <c r="B40" s="2145" t="s">
        <v>343</v>
      </c>
      <c r="C40" s="2026"/>
      <c r="D40" s="2027"/>
      <c r="E40" s="2866">
        <f t="shared" si="0"/>
        <v>0</v>
      </c>
      <c r="F40" s="2028">
        <v>1</v>
      </c>
      <c r="G40" s="2029">
        <f t="shared" si="1"/>
        <v>0</v>
      </c>
      <c r="H40" s="2025">
        <v>1.7</v>
      </c>
      <c r="I40" s="2025">
        <v>0.85</v>
      </c>
      <c r="J40" s="2031">
        <v>0.15</v>
      </c>
      <c r="K40" s="2028">
        <f>0.01*E41*F41*I41</f>
        <v>0</v>
      </c>
      <c r="L40" s="2028">
        <f>0.01*E41*F41*H41</f>
        <v>0</v>
      </c>
      <c r="M40" s="2033">
        <f t="shared" si="4"/>
        <v>0</v>
      </c>
      <c r="N40" s="2031">
        <v>1.1000000000000001</v>
      </c>
      <c r="O40" s="2032">
        <f t="shared" si="5"/>
        <v>0</v>
      </c>
      <c r="P40" s="2032" t="s">
        <v>348</v>
      </c>
      <c r="Q40" s="180"/>
      <c r="R40" s="180"/>
      <c r="S40" s="182"/>
      <c r="T40" s="177"/>
    </row>
    <row r="41" spans="1:20" ht="13.9" customHeight="1">
      <c r="A41" s="2143"/>
      <c r="B41" s="2145" t="s">
        <v>344</v>
      </c>
      <c r="C41" s="2026"/>
      <c r="D41" s="2027"/>
      <c r="E41" s="2866">
        <f t="shared" si="0"/>
        <v>0</v>
      </c>
      <c r="F41" s="2028">
        <v>1</v>
      </c>
      <c r="G41" s="2029">
        <f t="shared" si="1"/>
        <v>0</v>
      </c>
      <c r="H41" s="2025">
        <v>1.8</v>
      </c>
      <c r="I41" s="2025">
        <v>0.9</v>
      </c>
      <c r="J41" s="2031">
        <v>0.5</v>
      </c>
      <c r="K41" s="2028">
        <f>0.01*E42*F42*I42</f>
        <v>0</v>
      </c>
      <c r="L41" s="2028">
        <f>0.01*E42*F42*H42</f>
        <v>0</v>
      </c>
      <c r="M41" s="2033">
        <f t="shared" si="4"/>
        <v>0</v>
      </c>
      <c r="N41" s="2031">
        <v>1.1000000000000001</v>
      </c>
      <c r="O41" s="2032">
        <f t="shared" si="5"/>
        <v>0</v>
      </c>
      <c r="P41" s="2032" t="s">
        <v>348</v>
      </c>
      <c r="Q41" s="180"/>
      <c r="R41" s="180"/>
      <c r="S41" s="182"/>
      <c r="T41" s="177"/>
    </row>
    <row r="42" spans="1:20" ht="13.9" customHeight="1">
      <c r="A42" s="2143" t="s">
        <v>462</v>
      </c>
      <c r="B42" s="2144" t="s">
        <v>467</v>
      </c>
      <c r="C42" s="2026"/>
      <c r="D42" s="2027"/>
      <c r="E42" s="2866">
        <f t="shared" si="0"/>
        <v>0</v>
      </c>
      <c r="F42" s="2028">
        <v>1</v>
      </c>
      <c r="G42" s="2029">
        <f t="shared" si="1"/>
        <v>0</v>
      </c>
      <c r="H42" s="2025">
        <v>0.85</v>
      </c>
      <c r="I42" s="2025">
        <v>0.25</v>
      </c>
      <c r="J42" s="2031">
        <v>0</v>
      </c>
      <c r="K42" s="2028">
        <f t="shared" ref="K42:K71" si="6">0.01*E42*F42*I42</f>
        <v>0</v>
      </c>
      <c r="L42" s="2028">
        <f t="shared" ref="L42:L71" si="7">0.01*E42*F42*H42</f>
        <v>0</v>
      </c>
      <c r="M42" s="2033">
        <f t="shared" si="4"/>
        <v>0</v>
      </c>
      <c r="N42" s="2031">
        <v>1</v>
      </c>
      <c r="O42" s="2032">
        <f t="shared" si="5"/>
        <v>0</v>
      </c>
      <c r="P42" s="2032" t="s">
        <v>857</v>
      </c>
      <c r="Q42" s="180"/>
      <c r="R42" s="180"/>
      <c r="S42" s="182"/>
      <c r="T42" s="177"/>
    </row>
    <row r="43" spans="1:20" ht="13.9" customHeight="1">
      <c r="A43" s="2143"/>
      <c r="B43" s="2144" t="s">
        <v>454</v>
      </c>
      <c r="C43" s="2026"/>
      <c r="D43" s="2027"/>
      <c r="E43" s="2866">
        <f t="shared" si="0"/>
        <v>0</v>
      </c>
      <c r="F43" s="2028">
        <v>1</v>
      </c>
      <c r="G43" s="2029">
        <f t="shared" si="1"/>
        <v>0</v>
      </c>
      <c r="H43" s="2025">
        <v>0.85</v>
      </c>
      <c r="I43" s="2025">
        <v>0.25</v>
      </c>
      <c r="J43" s="2031">
        <v>0</v>
      </c>
      <c r="K43" s="2028">
        <f t="shared" si="6"/>
        <v>0</v>
      </c>
      <c r="L43" s="2028">
        <f t="shared" si="7"/>
        <v>0</v>
      </c>
      <c r="M43" s="2033">
        <f t="shared" si="4"/>
        <v>0</v>
      </c>
      <c r="N43" s="2031">
        <v>0.75</v>
      </c>
      <c r="O43" s="2032">
        <f t="shared" si="5"/>
        <v>0</v>
      </c>
      <c r="P43" s="2032" t="s">
        <v>857</v>
      </c>
      <c r="Q43" s="180"/>
      <c r="R43" s="180"/>
      <c r="S43" s="182"/>
      <c r="T43" s="177"/>
    </row>
    <row r="44" spans="1:20" ht="13.9" customHeight="1">
      <c r="A44" s="2143" t="s">
        <v>470</v>
      </c>
      <c r="B44" s="2145"/>
      <c r="C44" s="2026"/>
      <c r="D44" s="2027"/>
      <c r="E44" s="2866">
        <f t="shared" si="0"/>
        <v>0</v>
      </c>
      <c r="F44" s="2028">
        <v>1.5</v>
      </c>
      <c r="G44" s="2029">
        <f t="shared" si="1"/>
        <v>0</v>
      </c>
      <c r="H44" s="2025">
        <v>2</v>
      </c>
      <c r="I44" s="2025">
        <v>1.45</v>
      </c>
      <c r="J44" s="2031">
        <v>0.15</v>
      </c>
      <c r="K44" s="2028">
        <f t="shared" si="6"/>
        <v>0</v>
      </c>
      <c r="L44" s="2028">
        <f t="shared" si="7"/>
        <v>0</v>
      </c>
      <c r="M44" s="2033">
        <f t="shared" si="4"/>
        <v>0</v>
      </c>
      <c r="N44" s="2031">
        <v>1.25</v>
      </c>
      <c r="O44" s="2032">
        <f t="shared" si="5"/>
        <v>0</v>
      </c>
      <c r="P44" s="2032"/>
      <c r="Q44" s="180"/>
      <c r="R44" s="180"/>
      <c r="S44" s="182"/>
      <c r="T44" s="177"/>
    </row>
    <row r="45" spans="1:20" ht="13.9" customHeight="1">
      <c r="A45" s="2143" t="s">
        <v>471</v>
      </c>
      <c r="B45" s="2145" t="s">
        <v>343</v>
      </c>
      <c r="C45" s="2026"/>
      <c r="D45" s="2027"/>
      <c r="E45" s="2866">
        <f t="shared" si="0"/>
        <v>0</v>
      </c>
      <c r="F45" s="2028">
        <v>1.1000000000000001</v>
      </c>
      <c r="G45" s="2029">
        <f t="shared" si="1"/>
        <v>0</v>
      </c>
      <c r="H45" s="2025">
        <v>1.2</v>
      </c>
      <c r="I45" s="2025">
        <v>0.9</v>
      </c>
      <c r="J45" s="2031">
        <v>0</v>
      </c>
      <c r="K45" s="2028">
        <f t="shared" si="6"/>
        <v>0</v>
      </c>
      <c r="L45" s="2028">
        <f t="shared" si="7"/>
        <v>0</v>
      </c>
      <c r="M45" s="2033">
        <f t="shared" si="4"/>
        <v>0</v>
      </c>
      <c r="N45" s="2031">
        <v>1</v>
      </c>
      <c r="O45" s="2032">
        <f t="shared" si="5"/>
        <v>0</v>
      </c>
      <c r="P45" s="2032" t="s">
        <v>348</v>
      </c>
      <c r="Q45" s="180"/>
      <c r="R45" s="180"/>
      <c r="S45" s="182"/>
      <c r="T45" s="177"/>
    </row>
    <row r="46" spans="1:20" ht="13.9" customHeight="1">
      <c r="A46" s="2143"/>
      <c r="B46" s="2145" t="s">
        <v>344</v>
      </c>
      <c r="C46" s="2026"/>
      <c r="D46" s="2027"/>
      <c r="E46" s="2866">
        <f t="shared" si="0"/>
        <v>0</v>
      </c>
      <c r="F46" s="2028">
        <v>1.1000000000000001</v>
      </c>
      <c r="G46" s="2029">
        <f t="shared" si="1"/>
        <v>0</v>
      </c>
      <c r="H46" s="2025">
        <v>1.3</v>
      </c>
      <c r="I46" s="2025">
        <v>0.95</v>
      </c>
      <c r="J46" s="2031">
        <v>0.1</v>
      </c>
      <c r="K46" s="2028">
        <f t="shared" si="6"/>
        <v>0</v>
      </c>
      <c r="L46" s="2028">
        <f t="shared" si="7"/>
        <v>0</v>
      </c>
      <c r="M46" s="2033">
        <f t="shared" si="4"/>
        <v>0</v>
      </c>
      <c r="N46" s="2031">
        <v>1</v>
      </c>
      <c r="O46" s="2032">
        <f t="shared" si="5"/>
        <v>0</v>
      </c>
      <c r="P46" s="2032" t="s">
        <v>348</v>
      </c>
      <c r="Q46" s="180"/>
      <c r="R46" s="180"/>
      <c r="S46" s="182"/>
      <c r="T46" s="177"/>
    </row>
    <row r="47" spans="1:20" ht="13.9" customHeight="1">
      <c r="A47" s="2143" t="s">
        <v>472</v>
      </c>
      <c r="B47" s="2145"/>
      <c r="C47" s="2026"/>
      <c r="D47" s="2027"/>
      <c r="E47" s="2866">
        <f t="shared" si="0"/>
        <v>0</v>
      </c>
      <c r="F47" s="2028">
        <v>1.2</v>
      </c>
      <c r="G47" s="2029">
        <f t="shared" si="1"/>
        <v>0</v>
      </c>
      <c r="H47" s="2025">
        <v>0.4</v>
      </c>
      <c r="I47" s="2025">
        <v>1.1000000000000001</v>
      </c>
      <c r="J47" s="2031">
        <v>0</v>
      </c>
      <c r="K47" s="2028">
        <f t="shared" si="6"/>
        <v>0</v>
      </c>
      <c r="L47" s="2028">
        <f t="shared" si="7"/>
        <v>0</v>
      </c>
      <c r="M47" s="2033">
        <f t="shared" si="4"/>
        <v>0</v>
      </c>
      <c r="N47" s="2031">
        <v>1</v>
      </c>
      <c r="O47" s="2032">
        <f t="shared" si="5"/>
        <v>0</v>
      </c>
      <c r="P47" s="2032" t="s">
        <v>348</v>
      </c>
      <c r="Q47" s="180"/>
      <c r="R47" s="180"/>
      <c r="S47" s="182"/>
      <c r="T47" s="177"/>
    </row>
    <row r="48" spans="1:20" ht="13.9" customHeight="1">
      <c r="A48" s="2143" t="s">
        <v>473</v>
      </c>
      <c r="B48" s="2145"/>
      <c r="C48" s="2026"/>
      <c r="D48" s="2027"/>
      <c r="E48" s="2866">
        <f t="shared" si="0"/>
        <v>0</v>
      </c>
      <c r="F48" s="2028">
        <v>1.1499999999999999</v>
      </c>
      <c r="G48" s="2029">
        <f t="shared" si="1"/>
        <v>0</v>
      </c>
      <c r="H48" s="2034">
        <v>3</v>
      </c>
      <c r="I48" s="2025"/>
      <c r="J48" s="2031">
        <v>0</v>
      </c>
      <c r="K48" s="2028">
        <f t="shared" si="6"/>
        <v>0</v>
      </c>
      <c r="L48" s="2028">
        <f t="shared" si="7"/>
        <v>0</v>
      </c>
      <c r="M48" s="2033">
        <f t="shared" si="4"/>
        <v>0</v>
      </c>
      <c r="N48" s="2031">
        <v>1</v>
      </c>
      <c r="O48" s="2032">
        <f t="shared" si="5"/>
        <v>0</v>
      </c>
      <c r="P48" s="2032"/>
      <c r="Q48" s="180"/>
      <c r="R48" s="180"/>
      <c r="S48" s="182"/>
      <c r="T48" s="177"/>
    </row>
    <row r="49" spans="1:20" ht="13.9" customHeight="1">
      <c r="A49" s="2143" t="s">
        <v>474</v>
      </c>
      <c r="B49" s="2145"/>
      <c r="C49" s="2026"/>
      <c r="D49" s="2027"/>
      <c r="E49" s="2866">
        <f t="shared" si="0"/>
        <v>0</v>
      </c>
      <c r="F49" s="2028">
        <v>1</v>
      </c>
      <c r="G49" s="2029">
        <f t="shared" si="1"/>
        <v>0</v>
      </c>
      <c r="H49" s="2025">
        <v>4.3</v>
      </c>
      <c r="I49" s="2030">
        <v>0.8</v>
      </c>
      <c r="J49" s="2031">
        <v>0.15</v>
      </c>
      <c r="K49" s="2028">
        <f t="shared" si="6"/>
        <v>0</v>
      </c>
      <c r="L49" s="2028">
        <f t="shared" si="7"/>
        <v>0</v>
      </c>
      <c r="M49" s="2033">
        <f t="shared" si="4"/>
        <v>0</v>
      </c>
      <c r="N49" s="2031">
        <v>1</v>
      </c>
      <c r="O49" s="2032">
        <f t="shared" si="5"/>
        <v>0</v>
      </c>
      <c r="P49" s="2032"/>
      <c r="Q49" s="180"/>
      <c r="R49" s="180"/>
      <c r="S49" s="182"/>
      <c r="T49" s="177"/>
    </row>
    <row r="50" spans="1:20" ht="13.9" customHeight="1">
      <c r="A50" s="2143" t="s">
        <v>349</v>
      </c>
      <c r="B50" s="2145"/>
      <c r="C50" s="2026"/>
      <c r="D50" s="2027"/>
      <c r="E50" s="2866">
        <f t="shared" si="0"/>
        <v>0</v>
      </c>
      <c r="F50" s="2028">
        <v>1.3</v>
      </c>
      <c r="G50" s="2029">
        <f t="shared" si="1"/>
        <v>0</v>
      </c>
      <c r="H50" s="2025">
        <v>0.3</v>
      </c>
      <c r="I50" s="2030">
        <v>0.6</v>
      </c>
      <c r="J50" s="2031">
        <v>0</v>
      </c>
      <c r="K50" s="2028">
        <f t="shared" si="6"/>
        <v>0</v>
      </c>
      <c r="L50" s="2028">
        <f t="shared" si="7"/>
        <v>0</v>
      </c>
      <c r="M50" s="2033">
        <f t="shared" si="4"/>
        <v>0</v>
      </c>
      <c r="N50" s="2031">
        <v>1</v>
      </c>
      <c r="O50" s="2032">
        <f t="shared" si="5"/>
        <v>0</v>
      </c>
      <c r="P50" s="2032">
        <v>15</v>
      </c>
      <c r="Q50" s="180"/>
      <c r="R50" s="180"/>
      <c r="S50" s="182"/>
      <c r="T50" s="177"/>
    </row>
    <row r="51" spans="1:20" ht="13.9" customHeight="1">
      <c r="A51" s="2143" t="s">
        <v>476</v>
      </c>
      <c r="B51" s="2145"/>
      <c r="C51" s="2026"/>
      <c r="D51" s="2027"/>
      <c r="E51" s="2866">
        <f t="shared" si="0"/>
        <v>0</v>
      </c>
      <c r="F51" s="2028">
        <v>1</v>
      </c>
      <c r="G51" s="2029">
        <f t="shared" si="1"/>
        <v>0</v>
      </c>
      <c r="H51" s="2025">
        <v>2</v>
      </c>
      <c r="I51" s="2025">
        <v>0.6</v>
      </c>
      <c r="J51" s="2031">
        <v>0</v>
      </c>
      <c r="K51" s="2035">
        <f t="shared" si="6"/>
        <v>0</v>
      </c>
      <c r="L51" s="2035">
        <f t="shared" si="7"/>
        <v>0</v>
      </c>
      <c r="M51" s="2033">
        <f t="shared" si="4"/>
        <v>0</v>
      </c>
      <c r="N51" s="2031">
        <v>1</v>
      </c>
      <c r="O51" s="2032">
        <f t="shared" si="5"/>
        <v>0</v>
      </c>
      <c r="P51" s="2032">
        <v>20</v>
      </c>
      <c r="Q51" s="180"/>
      <c r="R51" s="180"/>
      <c r="S51" s="182"/>
      <c r="T51" s="177"/>
    </row>
    <row r="52" spans="1:20" ht="13.9" customHeight="1">
      <c r="A52" s="2143" t="s">
        <v>477</v>
      </c>
      <c r="B52" s="2145"/>
      <c r="C52" s="2026"/>
      <c r="D52" s="2027"/>
      <c r="E52" s="2866">
        <f t="shared" si="0"/>
        <v>0</v>
      </c>
      <c r="F52" s="2028">
        <v>1.3</v>
      </c>
      <c r="G52" s="2029">
        <f t="shared" si="1"/>
        <v>0</v>
      </c>
      <c r="H52" s="2025">
        <v>0.5</v>
      </c>
      <c r="I52" s="2025"/>
      <c r="J52" s="2031">
        <v>0</v>
      </c>
      <c r="K52" s="2028">
        <f t="shared" si="6"/>
        <v>0</v>
      </c>
      <c r="L52" s="2028">
        <f t="shared" si="7"/>
        <v>0</v>
      </c>
      <c r="M52" s="2033">
        <f t="shared" si="4"/>
        <v>0</v>
      </c>
      <c r="N52" s="2031">
        <v>1</v>
      </c>
      <c r="O52" s="2032">
        <f t="shared" si="5"/>
        <v>0</v>
      </c>
      <c r="P52" s="2032"/>
      <c r="Q52" s="180"/>
      <c r="R52" s="180"/>
      <c r="S52" s="182"/>
      <c r="T52" s="177"/>
    </row>
    <row r="53" spans="1:20" ht="13.9" customHeight="1">
      <c r="A53" s="2143" t="s">
        <v>478</v>
      </c>
      <c r="B53" s="2145"/>
      <c r="C53" s="2026"/>
      <c r="D53" s="2027"/>
      <c r="E53" s="2866">
        <f t="shared" si="0"/>
        <v>0</v>
      </c>
      <c r="F53" s="2028">
        <v>1</v>
      </c>
      <c r="G53" s="2029">
        <f t="shared" si="1"/>
        <v>0</v>
      </c>
      <c r="H53" s="2030">
        <v>1</v>
      </c>
      <c r="I53" s="2025"/>
      <c r="J53" s="2031">
        <v>0</v>
      </c>
      <c r="K53" s="2028">
        <f t="shared" si="6"/>
        <v>0</v>
      </c>
      <c r="L53" s="2028">
        <f t="shared" si="7"/>
        <v>0</v>
      </c>
      <c r="M53" s="2033">
        <f t="shared" si="4"/>
        <v>0</v>
      </c>
      <c r="N53" s="2031">
        <v>1</v>
      </c>
      <c r="O53" s="2032">
        <f t="shared" si="5"/>
        <v>0</v>
      </c>
      <c r="P53" s="2032" t="s">
        <v>348</v>
      </c>
      <c r="Q53" s="180"/>
      <c r="R53" s="180"/>
      <c r="S53" s="182"/>
      <c r="T53" s="177"/>
    </row>
    <row r="54" spans="1:20" ht="13.9" customHeight="1">
      <c r="A54" s="2143" t="s">
        <v>479</v>
      </c>
      <c r="B54" s="2145" t="s">
        <v>350</v>
      </c>
      <c r="C54" s="2026"/>
      <c r="D54" s="2027"/>
      <c r="E54" s="2866">
        <f t="shared" si="0"/>
        <v>0</v>
      </c>
      <c r="F54" s="2028">
        <v>1.4</v>
      </c>
      <c r="G54" s="2029">
        <f t="shared" si="1"/>
        <v>0</v>
      </c>
      <c r="H54" s="2025">
        <v>0.2</v>
      </c>
      <c r="I54" s="2030">
        <v>0.5</v>
      </c>
      <c r="J54" s="2031">
        <v>0</v>
      </c>
      <c r="K54" s="2028">
        <f t="shared" si="6"/>
        <v>0</v>
      </c>
      <c r="L54" s="2028">
        <f t="shared" si="7"/>
        <v>0</v>
      </c>
      <c r="M54" s="2033">
        <f t="shared" si="4"/>
        <v>0</v>
      </c>
      <c r="N54" s="2031">
        <v>1</v>
      </c>
      <c r="O54" s="2032">
        <f t="shared" si="5"/>
        <v>0</v>
      </c>
      <c r="P54" s="2032">
        <v>30</v>
      </c>
      <c r="Q54" s="180"/>
      <c r="R54" s="180"/>
      <c r="S54" s="182"/>
      <c r="T54" s="177"/>
    </row>
    <row r="55" spans="1:20" ht="13.9" customHeight="1">
      <c r="A55" s="2143" t="s">
        <v>480</v>
      </c>
      <c r="B55" s="2145"/>
      <c r="C55" s="2026"/>
      <c r="D55" s="2027"/>
      <c r="E55" s="2866">
        <f t="shared" si="0"/>
        <v>0</v>
      </c>
      <c r="F55" s="2028">
        <v>1.5</v>
      </c>
      <c r="G55" s="2029">
        <f t="shared" ref="G55:G72" si="8">IF(F55=0,0,E55/F55)</f>
        <v>0</v>
      </c>
      <c r="H55" s="2025">
        <v>0.45</v>
      </c>
      <c r="I55" s="2025">
        <v>0.6</v>
      </c>
      <c r="J55" s="2031">
        <v>0.15</v>
      </c>
      <c r="K55" s="2028">
        <f t="shared" si="6"/>
        <v>0</v>
      </c>
      <c r="L55" s="2028">
        <f t="shared" si="7"/>
        <v>0</v>
      </c>
      <c r="M55" s="2033">
        <f t="shared" ref="M55:M71" si="9">J55*G55</f>
        <v>0</v>
      </c>
      <c r="N55" s="2031">
        <v>1</v>
      </c>
      <c r="O55" s="2032">
        <f t="shared" ref="O55:O84" si="10">G55*N55</f>
        <v>0</v>
      </c>
      <c r="P55" s="2032">
        <v>30</v>
      </c>
      <c r="Q55" s="180"/>
      <c r="R55" s="180"/>
      <c r="S55" s="182"/>
      <c r="T55" s="177"/>
    </row>
    <row r="56" spans="1:20" ht="13.9" customHeight="1">
      <c r="A56" s="2143" t="s">
        <v>481</v>
      </c>
      <c r="B56" s="2145" t="s">
        <v>343</v>
      </c>
      <c r="C56" s="2026"/>
      <c r="D56" s="2027"/>
      <c r="E56" s="2866">
        <f t="shared" si="0"/>
        <v>0</v>
      </c>
      <c r="F56" s="2028">
        <v>1.1000000000000001</v>
      </c>
      <c r="G56" s="2029">
        <f t="shared" si="8"/>
        <v>0</v>
      </c>
      <c r="H56" s="2025">
        <v>0.7</v>
      </c>
      <c r="I56" s="2025">
        <v>0.35</v>
      </c>
      <c r="J56" s="2031">
        <v>0.09</v>
      </c>
      <c r="K56" s="2028">
        <f t="shared" si="6"/>
        <v>0</v>
      </c>
      <c r="L56" s="2028">
        <f t="shared" si="7"/>
        <v>0</v>
      </c>
      <c r="M56" s="2033">
        <f t="shared" si="9"/>
        <v>0</v>
      </c>
      <c r="N56" s="2031">
        <v>1</v>
      </c>
      <c r="O56" s="2032">
        <f t="shared" si="10"/>
        <v>0</v>
      </c>
      <c r="P56" s="2032" t="s">
        <v>351</v>
      </c>
      <c r="Q56" s="180"/>
      <c r="R56" s="180"/>
      <c r="S56" s="182"/>
      <c r="T56" s="177"/>
    </row>
    <row r="57" spans="1:20" ht="13.9" customHeight="1">
      <c r="A57" s="2147"/>
      <c r="B57" s="2145" t="s">
        <v>344</v>
      </c>
      <c r="C57" s="2026"/>
      <c r="D57" s="2027"/>
      <c r="E57" s="2866">
        <f t="shared" si="0"/>
        <v>0</v>
      </c>
      <c r="F57" s="2028">
        <v>1.1000000000000001</v>
      </c>
      <c r="G57" s="2029">
        <f t="shared" si="8"/>
        <v>0</v>
      </c>
      <c r="H57" s="2025">
        <v>0.7</v>
      </c>
      <c r="I57" s="2025">
        <v>0.35</v>
      </c>
      <c r="J57" s="2031">
        <v>0.15</v>
      </c>
      <c r="K57" s="2028">
        <f t="shared" si="6"/>
        <v>0</v>
      </c>
      <c r="L57" s="2028">
        <f t="shared" si="7"/>
        <v>0</v>
      </c>
      <c r="M57" s="2033">
        <f t="shared" si="9"/>
        <v>0</v>
      </c>
      <c r="N57" s="2031">
        <v>1</v>
      </c>
      <c r="O57" s="2032">
        <f t="shared" si="10"/>
        <v>0</v>
      </c>
      <c r="P57" s="2032" t="s">
        <v>351</v>
      </c>
      <c r="Q57" s="180"/>
      <c r="R57" s="180"/>
      <c r="S57" s="182"/>
      <c r="T57" s="177"/>
    </row>
    <row r="58" spans="1:20" ht="13.9" customHeight="1">
      <c r="A58" s="2143" t="s">
        <v>482</v>
      </c>
      <c r="B58" s="2145"/>
      <c r="C58" s="2026"/>
      <c r="D58" s="2027"/>
      <c r="E58" s="2866">
        <f t="shared" si="0"/>
        <v>0</v>
      </c>
      <c r="F58" s="2028">
        <v>1</v>
      </c>
      <c r="G58" s="2029">
        <f t="shared" si="8"/>
        <v>0</v>
      </c>
      <c r="H58" s="2025">
        <v>0.95</v>
      </c>
      <c r="I58" s="2025">
        <v>0.75</v>
      </c>
      <c r="J58" s="2031">
        <v>0.15</v>
      </c>
      <c r="K58" s="2028">
        <f t="shared" si="6"/>
        <v>0</v>
      </c>
      <c r="L58" s="2028">
        <f t="shared" si="7"/>
        <v>0</v>
      </c>
      <c r="M58" s="2033">
        <f t="shared" si="9"/>
        <v>0</v>
      </c>
      <c r="N58" s="2031">
        <v>1</v>
      </c>
      <c r="O58" s="2032">
        <f t="shared" si="10"/>
        <v>0</v>
      </c>
      <c r="P58" s="2032"/>
      <c r="Q58" s="180"/>
      <c r="R58" s="180"/>
      <c r="S58" s="182"/>
      <c r="T58" s="177"/>
    </row>
    <row r="59" spans="1:20" ht="13.9" customHeight="1">
      <c r="A59" s="2143" t="s">
        <v>352</v>
      </c>
      <c r="B59" s="2145"/>
      <c r="C59" s="2026"/>
      <c r="D59" s="2027"/>
      <c r="E59" s="2866">
        <f t="shared" si="0"/>
        <v>0</v>
      </c>
      <c r="F59" s="2028">
        <v>1.4</v>
      </c>
      <c r="G59" s="2029">
        <f t="shared" si="8"/>
        <v>0</v>
      </c>
      <c r="H59" s="2025">
        <v>0.1</v>
      </c>
      <c r="I59" s="2025"/>
      <c r="J59" s="2031">
        <v>0</v>
      </c>
      <c r="K59" s="2028">
        <f t="shared" si="6"/>
        <v>0</v>
      </c>
      <c r="L59" s="2028">
        <f t="shared" si="7"/>
        <v>0</v>
      </c>
      <c r="M59" s="2033">
        <f t="shared" si="9"/>
        <v>0</v>
      </c>
      <c r="N59" s="2031">
        <v>1</v>
      </c>
      <c r="O59" s="2032">
        <f t="shared" si="10"/>
        <v>0</v>
      </c>
      <c r="P59" s="2032"/>
      <c r="Q59" s="180"/>
      <c r="R59" s="180"/>
      <c r="S59" s="182"/>
      <c r="T59" s="177"/>
    </row>
    <row r="60" spans="1:20" ht="13.9" customHeight="1">
      <c r="A60" s="2143" t="s">
        <v>484</v>
      </c>
      <c r="B60" s="2145"/>
      <c r="C60" s="2026"/>
      <c r="D60" s="2027"/>
      <c r="E60" s="2866">
        <f t="shared" si="0"/>
        <v>0</v>
      </c>
      <c r="F60" s="2028">
        <v>1</v>
      </c>
      <c r="G60" s="2029">
        <f t="shared" si="8"/>
        <v>0</v>
      </c>
      <c r="H60" s="2025">
        <v>3</v>
      </c>
      <c r="I60" s="2030">
        <v>0.5</v>
      </c>
      <c r="J60" s="2031">
        <v>0</v>
      </c>
      <c r="K60" s="2028">
        <f t="shared" si="6"/>
        <v>0</v>
      </c>
      <c r="L60" s="2028">
        <f t="shared" si="7"/>
        <v>0</v>
      </c>
      <c r="M60" s="2033">
        <f t="shared" si="9"/>
        <v>0</v>
      </c>
      <c r="N60" s="2031">
        <v>1</v>
      </c>
      <c r="O60" s="2032">
        <f t="shared" si="10"/>
        <v>0</v>
      </c>
      <c r="P60" s="2032">
        <v>15</v>
      </c>
      <c r="Q60" s="180"/>
      <c r="R60" s="180"/>
      <c r="S60" s="182"/>
      <c r="T60" s="177"/>
    </row>
    <row r="61" spans="1:20" ht="13.9" customHeight="1">
      <c r="A61" s="2143" t="s">
        <v>485</v>
      </c>
      <c r="B61" s="2145" t="s">
        <v>343</v>
      </c>
      <c r="C61" s="2026"/>
      <c r="D61" s="2027"/>
      <c r="E61" s="2866">
        <f t="shared" si="0"/>
        <v>0</v>
      </c>
      <c r="F61" s="2028">
        <v>1.2</v>
      </c>
      <c r="G61" s="2029">
        <f t="shared" si="8"/>
        <v>0</v>
      </c>
      <c r="H61" s="2025">
        <v>0.65</v>
      </c>
      <c r="I61" s="2025">
        <v>0.35</v>
      </c>
      <c r="J61" s="2031">
        <v>0.09</v>
      </c>
      <c r="K61" s="2028">
        <f t="shared" si="6"/>
        <v>0</v>
      </c>
      <c r="L61" s="2028">
        <f t="shared" si="7"/>
        <v>0</v>
      </c>
      <c r="M61" s="2033">
        <f t="shared" si="9"/>
        <v>0</v>
      </c>
      <c r="N61" s="2031">
        <v>1</v>
      </c>
      <c r="O61" s="2032">
        <f t="shared" si="10"/>
        <v>0</v>
      </c>
      <c r="P61" s="2032">
        <v>30</v>
      </c>
      <c r="Q61" s="180"/>
      <c r="R61" s="180"/>
      <c r="S61" s="182"/>
      <c r="T61" s="177"/>
    </row>
    <row r="62" spans="1:20" ht="13.9" customHeight="1">
      <c r="A62" s="2143"/>
      <c r="B62" s="2145" t="s">
        <v>344</v>
      </c>
      <c r="C62" s="2026"/>
      <c r="D62" s="2027"/>
      <c r="E62" s="2866">
        <f t="shared" si="0"/>
        <v>0</v>
      </c>
      <c r="F62" s="2028">
        <v>1.2</v>
      </c>
      <c r="G62" s="2029">
        <f t="shared" si="8"/>
        <v>0</v>
      </c>
      <c r="H62" s="2025">
        <v>0.65</v>
      </c>
      <c r="I62" s="2025">
        <v>0.35</v>
      </c>
      <c r="J62" s="2031">
        <v>0.15</v>
      </c>
      <c r="K62" s="2028">
        <f t="shared" si="6"/>
        <v>0</v>
      </c>
      <c r="L62" s="2028">
        <f t="shared" si="7"/>
        <v>0</v>
      </c>
      <c r="M62" s="2033">
        <f t="shared" si="9"/>
        <v>0</v>
      </c>
      <c r="N62" s="2031">
        <v>1</v>
      </c>
      <c r="O62" s="2032">
        <f t="shared" si="10"/>
        <v>0</v>
      </c>
      <c r="P62" s="2032">
        <v>31</v>
      </c>
      <c r="Q62" s="180"/>
      <c r="R62" s="180"/>
      <c r="S62" s="182"/>
      <c r="T62" s="177"/>
    </row>
    <row r="63" spans="1:20" ht="13.9" customHeight="1">
      <c r="A63" s="2148"/>
      <c r="B63" s="2144" t="s">
        <v>445</v>
      </c>
      <c r="C63" s="2026"/>
      <c r="D63" s="2027"/>
      <c r="E63" s="2866">
        <f t="shared" si="0"/>
        <v>0</v>
      </c>
      <c r="F63" s="2028">
        <v>1</v>
      </c>
      <c r="G63" s="2029">
        <f t="shared" si="8"/>
        <v>0</v>
      </c>
      <c r="H63" s="2025">
        <v>1</v>
      </c>
      <c r="I63" s="2030">
        <v>1.05</v>
      </c>
      <c r="J63" s="2031">
        <v>3</v>
      </c>
      <c r="K63" s="2028">
        <f t="shared" si="6"/>
        <v>0</v>
      </c>
      <c r="L63" s="2028">
        <f t="shared" si="7"/>
        <v>0</v>
      </c>
      <c r="M63" s="2033">
        <f t="shared" si="9"/>
        <v>0</v>
      </c>
      <c r="N63" s="2031">
        <v>2</v>
      </c>
      <c r="O63" s="2032">
        <f t="shared" si="10"/>
        <v>0</v>
      </c>
      <c r="P63" s="2032" t="s">
        <v>353</v>
      </c>
      <c r="Q63" s="180"/>
      <c r="R63" s="180"/>
      <c r="S63" s="182"/>
      <c r="T63" s="177"/>
    </row>
    <row r="64" spans="1:20" ht="13.9" customHeight="1">
      <c r="A64" s="2143" t="s">
        <v>486</v>
      </c>
      <c r="B64" s="2145"/>
      <c r="C64" s="2026"/>
      <c r="D64" s="2027"/>
      <c r="E64" s="2866">
        <f t="shared" si="0"/>
        <v>0</v>
      </c>
      <c r="F64" s="2028">
        <v>1.2</v>
      </c>
      <c r="G64" s="2029">
        <f t="shared" si="8"/>
        <v>0</v>
      </c>
      <c r="H64" s="2025">
        <v>0.3</v>
      </c>
      <c r="I64" s="2025">
        <v>0.8</v>
      </c>
      <c r="J64" s="2031">
        <v>0</v>
      </c>
      <c r="K64" s="2028">
        <f t="shared" si="6"/>
        <v>0</v>
      </c>
      <c r="L64" s="2028">
        <f t="shared" si="7"/>
        <v>0</v>
      </c>
      <c r="M64" s="2033">
        <f t="shared" si="9"/>
        <v>0</v>
      </c>
      <c r="N64" s="2031">
        <v>1</v>
      </c>
      <c r="O64" s="2032">
        <f t="shared" si="10"/>
        <v>0</v>
      </c>
      <c r="P64" s="2032" t="s">
        <v>351</v>
      </c>
      <c r="Q64" s="180"/>
      <c r="R64" s="180"/>
      <c r="S64" s="182"/>
      <c r="T64" s="177"/>
    </row>
    <row r="65" spans="1:20" ht="13.9" customHeight="1">
      <c r="A65" s="2143" t="s">
        <v>354</v>
      </c>
      <c r="B65" s="2145"/>
      <c r="C65" s="2026"/>
      <c r="D65" s="2027"/>
      <c r="E65" s="2866">
        <f t="shared" si="0"/>
        <v>0</v>
      </c>
      <c r="F65" s="2028">
        <v>1.1499999999999999</v>
      </c>
      <c r="G65" s="2029">
        <f t="shared" si="8"/>
        <v>0</v>
      </c>
      <c r="H65" s="2025">
        <v>0.2</v>
      </c>
      <c r="I65" s="2030">
        <v>0.5</v>
      </c>
      <c r="J65" s="2031">
        <v>0</v>
      </c>
      <c r="K65" s="2028">
        <f t="shared" si="6"/>
        <v>0</v>
      </c>
      <c r="L65" s="2028">
        <f t="shared" si="7"/>
        <v>0</v>
      </c>
      <c r="M65" s="2033">
        <f t="shared" si="9"/>
        <v>0</v>
      </c>
      <c r="N65" s="2031">
        <v>0.67</v>
      </c>
      <c r="O65" s="2032">
        <f t="shared" si="10"/>
        <v>0</v>
      </c>
      <c r="P65" s="2032"/>
      <c r="Q65" s="180"/>
      <c r="R65" s="180"/>
      <c r="S65" s="182"/>
      <c r="T65" s="177"/>
    </row>
    <row r="66" spans="1:20" ht="13.9" customHeight="1">
      <c r="A66" s="2143" t="s">
        <v>487</v>
      </c>
      <c r="B66" s="2145"/>
      <c r="C66" s="2026"/>
      <c r="D66" s="2027"/>
      <c r="E66" s="2866">
        <f t="shared" si="0"/>
        <v>0</v>
      </c>
      <c r="F66" s="2028">
        <v>1.4</v>
      </c>
      <c r="G66" s="2029">
        <f t="shared" si="8"/>
        <v>0</v>
      </c>
      <c r="H66" s="2025">
        <v>1.1000000000000001</v>
      </c>
      <c r="I66" s="2025">
        <v>0.1</v>
      </c>
      <c r="J66" s="2031">
        <v>0</v>
      </c>
      <c r="K66" s="2028">
        <f t="shared" si="6"/>
        <v>0</v>
      </c>
      <c r="L66" s="2028">
        <f t="shared" si="7"/>
        <v>0</v>
      </c>
      <c r="M66" s="2033">
        <f t="shared" si="9"/>
        <v>0</v>
      </c>
      <c r="N66" s="2031">
        <v>1</v>
      </c>
      <c r="O66" s="2032">
        <f t="shared" si="10"/>
        <v>0</v>
      </c>
      <c r="P66" s="2032">
        <v>35</v>
      </c>
      <c r="Q66" s="180"/>
      <c r="R66" s="180"/>
      <c r="S66" s="182"/>
      <c r="T66" s="177"/>
    </row>
    <row r="67" spans="1:20" ht="13.9" customHeight="1">
      <c r="A67" s="2143" t="s">
        <v>488</v>
      </c>
      <c r="B67" s="2145" t="s">
        <v>343</v>
      </c>
      <c r="C67" s="2026"/>
      <c r="D67" s="2027"/>
      <c r="E67" s="2866">
        <f t="shared" si="0"/>
        <v>0</v>
      </c>
      <c r="F67" s="2028">
        <v>1.04</v>
      </c>
      <c r="G67" s="2029">
        <f t="shared" si="8"/>
        <v>0</v>
      </c>
      <c r="H67" s="2025">
        <v>1.6</v>
      </c>
      <c r="I67" s="2025">
        <v>0.8</v>
      </c>
      <c r="J67" s="2031">
        <v>0</v>
      </c>
      <c r="K67" s="2028">
        <f t="shared" si="6"/>
        <v>0</v>
      </c>
      <c r="L67" s="2028">
        <f t="shared" si="7"/>
        <v>0</v>
      </c>
      <c r="M67" s="2033">
        <f t="shared" si="9"/>
        <v>0</v>
      </c>
      <c r="N67" s="2031">
        <v>1</v>
      </c>
      <c r="O67" s="2032">
        <f t="shared" si="10"/>
        <v>0</v>
      </c>
      <c r="P67" s="2032" t="s">
        <v>347</v>
      </c>
      <c r="Q67" s="180"/>
      <c r="R67" s="180"/>
      <c r="S67" s="182"/>
      <c r="T67" s="177"/>
    </row>
    <row r="68" spans="1:20" ht="13.5" customHeight="1">
      <c r="A68" s="2143"/>
      <c r="B68" s="2145" t="s">
        <v>344</v>
      </c>
      <c r="C68" s="2026"/>
      <c r="D68" s="2027"/>
      <c r="E68" s="2866">
        <f t="shared" si="0"/>
        <v>0</v>
      </c>
      <c r="F68" s="2028">
        <v>1.04</v>
      </c>
      <c r="G68" s="2029">
        <f t="shared" si="8"/>
        <v>0</v>
      </c>
      <c r="H68" s="2025">
        <v>1.6</v>
      </c>
      <c r="I68" s="2025">
        <v>0.8</v>
      </c>
      <c r="J68" s="2031">
        <v>0.12</v>
      </c>
      <c r="K68" s="2028">
        <f t="shared" si="6"/>
        <v>0</v>
      </c>
      <c r="L68" s="2028">
        <f t="shared" si="7"/>
        <v>0</v>
      </c>
      <c r="M68" s="2033">
        <f t="shared" si="9"/>
        <v>0</v>
      </c>
      <c r="N68" s="2031">
        <v>1</v>
      </c>
      <c r="O68" s="2032">
        <f t="shared" si="10"/>
        <v>0</v>
      </c>
      <c r="P68" s="2032" t="s">
        <v>347</v>
      </c>
      <c r="Q68" s="180"/>
      <c r="R68" s="180"/>
      <c r="S68" s="182"/>
      <c r="T68" s="177"/>
    </row>
    <row r="69" spans="1:20" ht="13.9" customHeight="1">
      <c r="A69" s="2143" t="s">
        <v>489</v>
      </c>
      <c r="B69" s="2145" t="s">
        <v>744</v>
      </c>
      <c r="C69" s="2026"/>
      <c r="D69" s="2027"/>
      <c r="E69" s="2866">
        <f t="shared" si="0"/>
        <v>0</v>
      </c>
      <c r="F69" s="2028">
        <v>1</v>
      </c>
      <c r="G69" s="2029">
        <f t="shared" si="8"/>
        <v>0</v>
      </c>
      <c r="H69" s="2025">
        <v>1.3</v>
      </c>
      <c r="I69" s="2030">
        <v>0.9</v>
      </c>
      <c r="J69" s="2031">
        <v>1</v>
      </c>
      <c r="K69" s="2028">
        <f t="shared" si="6"/>
        <v>0</v>
      </c>
      <c r="L69" s="2028">
        <f t="shared" si="7"/>
        <v>0</v>
      </c>
      <c r="M69" s="2033">
        <f t="shared" si="9"/>
        <v>0</v>
      </c>
      <c r="N69" s="2031">
        <v>1</v>
      </c>
      <c r="O69" s="2032">
        <f t="shared" si="10"/>
        <v>0</v>
      </c>
      <c r="P69" s="2032">
        <v>35</v>
      </c>
      <c r="Q69" s="180"/>
      <c r="R69" s="180"/>
      <c r="S69" s="182"/>
      <c r="T69" s="177"/>
    </row>
    <row r="70" spans="1:20" ht="13.9" customHeight="1">
      <c r="A70" s="2143" t="s">
        <v>490</v>
      </c>
      <c r="B70" s="2145" t="s">
        <v>343</v>
      </c>
      <c r="C70" s="2026"/>
      <c r="D70" s="2027"/>
      <c r="E70" s="2866">
        <f t="shared" si="0"/>
        <v>0</v>
      </c>
      <c r="F70" s="2028">
        <v>1.4</v>
      </c>
      <c r="G70" s="2029">
        <f t="shared" si="8"/>
        <v>0</v>
      </c>
      <c r="H70" s="2025">
        <v>0.95</v>
      </c>
      <c r="I70" s="2025">
        <v>1.1000000000000001</v>
      </c>
      <c r="J70" s="2031">
        <v>0.15</v>
      </c>
      <c r="K70" s="2028">
        <f t="shared" si="6"/>
        <v>0</v>
      </c>
      <c r="L70" s="2028">
        <f t="shared" si="7"/>
        <v>0</v>
      </c>
      <c r="M70" s="2033">
        <f t="shared" si="9"/>
        <v>0</v>
      </c>
      <c r="N70" s="2031">
        <v>1</v>
      </c>
      <c r="O70" s="2032">
        <f t="shared" si="10"/>
        <v>0</v>
      </c>
      <c r="P70" s="2032" t="s">
        <v>346</v>
      </c>
      <c r="Q70" s="180"/>
      <c r="R70" s="180"/>
      <c r="S70" s="182"/>
      <c r="T70" s="177"/>
    </row>
    <row r="71" spans="1:20" ht="13.9" customHeight="1">
      <c r="A71" s="2143"/>
      <c r="B71" s="2145" t="s">
        <v>344</v>
      </c>
      <c r="C71" s="2026"/>
      <c r="D71" s="2027"/>
      <c r="E71" s="2866">
        <f t="shared" si="0"/>
        <v>0</v>
      </c>
      <c r="F71" s="2028">
        <v>1.4</v>
      </c>
      <c r="G71" s="2029">
        <f t="shared" si="8"/>
        <v>0</v>
      </c>
      <c r="H71" s="2025">
        <v>0.95</v>
      </c>
      <c r="I71" s="2025">
        <v>1.1000000000000001</v>
      </c>
      <c r="J71" s="2031">
        <v>0.3</v>
      </c>
      <c r="K71" s="2028">
        <f t="shared" si="6"/>
        <v>0</v>
      </c>
      <c r="L71" s="2028">
        <f t="shared" si="7"/>
        <v>0</v>
      </c>
      <c r="M71" s="2033">
        <f t="shared" si="9"/>
        <v>0</v>
      </c>
      <c r="N71" s="2031">
        <v>1</v>
      </c>
      <c r="O71" s="2032">
        <f t="shared" si="10"/>
        <v>0</v>
      </c>
      <c r="P71" s="2032" t="s">
        <v>346</v>
      </c>
      <c r="Q71" s="180"/>
      <c r="R71" s="180"/>
      <c r="S71" s="182"/>
      <c r="T71" s="177"/>
    </row>
    <row r="72" spans="1:20" ht="13.9" customHeight="1">
      <c r="A72" s="2143"/>
      <c r="B72" s="2145"/>
      <c r="C72" s="2026"/>
      <c r="D72" s="2027"/>
      <c r="E72" s="2866">
        <f t="shared" si="0"/>
        <v>0</v>
      </c>
      <c r="F72" s="2028"/>
      <c r="G72" s="2029">
        <f t="shared" si="8"/>
        <v>0</v>
      </c>
      <c r="H72" s="2025"/>
      <c r="I72" s="2025"/>
      <c r="J72" s="2031"/>
      <c r="K72" s="2028"/>
      <c r="L72" s="2028"/>
      <c r="M72" s="2033"/>
      <c r="N72" s="2031"/>
      <c r="O72" s="2032">
        <f t="shared" si="10"/>
        <v>0</v>
      </c>
      <c r="P72" s="2032"/>
      <c r="Q72" s="180"/>
      <c r="R72" s="180"/>
      <c r="S72" s="182"/>
      <c r="T72" s="177"/>
    </row>
    <row r="73" spans="1:20" ht="13.9" customHeight="1">
      <c r="A73" s="2143" t="s">
        <v>492</v>
      </c>
      <c r="B73" s="2145"/>
      <c r="C73" s="2026"/>
      <c r="D73" s="2027"/>
      <c r="E73" s="2866">
        <f t="shared" si="0"/>
        <v>0</v>
      </c>
      <c r="F73" s="2028">
        <v>1</v>
      </c>
      <c r="G73" s="2029">
        <f t="shared" ref="G73:G84" si="11">IF(F73=0,0,E73/F73)</f>
        <v>0</v>
      </c>
      <c r="H73" s="2025">
        <v>1.5</v>
      </c>
      <c r="I73" s="2025">
        <v>0.45</v>
      </c>
      <c r="J73" s="2031">
        <v>0</v>
      </c>
      <c r="K73" s="2028">
        <f t="shared" ref="K73:K84" si="12">0.01*E73*F73*I73</f>
        <v>0</v>
      </c>
      <c r="L73" s="2028">
        <f t="shared" ref="L73:L84" si="13">0.01*E73*F73*H73</f>
        <v>0</v>
      </c>
      <c r="M73" s="2033">
        <f t="shared" ref="M73:M84" si="14">J73*G73</f>
        <v>0</v>
      </c>
      <c r="N73" s="2031">
        <v>0.9</v>
      </c>
      <c r="O73" s="2032">
        <f t="shared" si="10"/>
        <v>0</v>
      </c>
      <c r="P73" s="2032">
        <v>10</v>
      </c>
      <c r="Q73" s="180"/>
      <c r="R73" s="180"/>
      <c r="S73" s="182"/>
      <c r="T73" s="177"/>
    </row>
    <row r="74" spans="1:20" ht="13.9" customHeight="1">
      <c r="A74" s="2143" t="s">
        <v>493</v>
      </c>
      <c r="B74" s="2145"/>
      <c r="C74" s="2026"/>
      <c r="D74" s="2027"/>
      <c r="E74" s="2866">
        <f t="shared" si="0"/>
        <v>0</v>
      </c>
      <c r="F74" s="2028">
        <v>1</v>
      </c>
      <c r="G74" s="2029">
        <f t="shared" si="11"/>
        <v>0</v>
      </c>
      <c r="H74" s="2025">
        <v>2.2999999999999998</v>
      </c>
      <c r="I74" s="2025">
        <v>0.55000000000000004</v>
      </c>
      <c r="J74" s="2031">
        <v>0.4</v>
      </c>
      <c r="K74" s="2028">
        <f t="shared" si="12"/>
        <v>0</v>
      </c>
      <c r="L74" s="2028">
        <f t="shared" si="13"/>
        <v>0</v>
      </c>
      <c r="M74" s="2033">
        <f t="shared" si="14"/>
        <v>0</v>
      </c>
      <c r="N74" s="2031">
        <v>1.25</v>
      </c>
      <c r="O74" s="2032">
        <f t="shared" si="10"/>
        <v>0</v>
      </c>
      <c r="P74" s="2032" t="s">
        <v>346</v>
      </c>
      <c r="Q74" s="180"/>
      <c r="R74" s="180"/>
      <c r="S74" s="182"/>
      <c r="T74" s="177"/>
    </row>
    <row r="75" spans="1:20" ht="13.9" customHeight="1">
      <c r="A75" s="2149" t="s">
        <v>1166</v>
      </c>
      <c r="B75" s="2145"/>
      <c r="C75" s="2026"/>
      <c r="D75" s="2027"/>
      <c r="E75" s="2866">
        <f t="shared" si="0"/>
        <v>0</v>
      </c>
      <c r="F75" s="2028">
        <v>1</v>
      </c>
      <c r="G75" s="2029">
        <f t="shared" si="11"/>
        <v>0</v>
      </c>
      <c r="H75" s="2025">
        <v>1.5</v>
      </c>
      <c r="I75" s="2025">
        <v>0.45</v>
      </c>
      <c r="J75" s="2031">
        <v>0</v>
      </c>
      <c r="K75" s="2028">
        <f t="shared" si="12"/>
        <v>0</v>
      </c>
      <c r="L75" s="2028">
        <f t="shared" si="13"/>
        <v>0</v>
      </c>
      <c r="M75" s="2033">
        <f t="shared" si="14"/>
        <v>0</v>
      </c>
      <c r="N75" s="2031">
        <v>1</v>
      </c>
      <c r="O75" s="2032">
        <f t="shared" si="10"/>
        <v>0</v>
      </c>
      <c r="P75" s="2032">
        <v>25</v>
      </c>
      <c r="Q75" s="180"/>
      <c r="R75" s="180"/>
      <c r="S75" s="182"/>
      <c r="T75" s="177"/>
    </row>
    <row r="76" spans="1:20" ht="13.9" customHeight="1">
      <c r="A76" s="2143" t="s">
        <v>495</v>
      </c>
      <c r="B76" s="2145"/>
      <c r="C76" s="2026"/>
      <c r="D76" s="2027"/>
      <c r="E76" s="2866">
        <f t="shared" si="0"/>
        <v>0</v>
      </c>
      <c r="F76" s="2028">
        <v>1.25</v>
      </c>
      <c r="G76" s="2029">
        <f t="shared" si="11"/>
        <v>0</v>
      </c>
      <c r="H76" s="2030">
        <v>2</v>
      </c>
      <c r="I76" s="2025"/>
      <c r="J76" s="2031">
        <v>0</v>
      </c>
      <c r="K76" s="2028">
        <f t="shared" si="12"/>
        <v>0</v>
      </c>
      <c r="L76" s="2028">
        <f t="shared" si="13"/>
        <v>0</v>
      </c>
      <c r="M76" s="2033">
        <f t="shared" si="14"/>
        <v>0</v>
      </c>
      <c r="N76" s="2031">
        <v>1</v>
      </c>
      <c r="O76" s="2032">
        <f t="shared" si="10"/>
        <v>0</v>
      </c>
      <c r="P76" s="2032"/>
      <c r="Q76" s="180"/>
      <c r="R76" s="180"/>
      <c r="S76" s="182"/>
      <c r="T76" s="177"/>
    </row>
    <row r="77" spans="1:20" ht="13.9" customHeight="1">
      <c r="A77" s="2143" t="s">
        <v>496</v>
      </c>
      <c r="B77" s="2145"/>
      <c r="C77" s="2026"/>
      <c r="D77" s="2027"/>
      <c r="E77" s="2866">
        <f t="shared" si="0"/>
        <v>0</v>
      </c>
      <c r="F77" s="2028">
        <v>1</v>
      </c>
      <c r="G77" s="2029">
        <f t="shared" si="11"/>
        <v>0</v>
      </c>
      <c r="H77" s="2025">
        <v>1</v>
      </c>
      <c r="I77" s="2025">
        <v>0.5</v>
      </c>
      <c r="J77" s="2031">
        <v>0</v>
      </c>
      <c r="K77" s="2028">
        <f t="shared" si="12"/>
        <v>0</v>
      </c>
      <c r="L77" s="2028">
        <f t="shared" si="13"/>
        <v>0</v>
      </c>
      <c r="M77" s="2033">
        <f t="shared" si="14"/>
        <v>0</v>
      </c>
      <c r="N77" s="2031">
        <v>0.875</v>
      </c>
      <c r="O77" s="2032">
        <f t="shared" si="10"/>
        <v>0</v>
      </c>
      <c r="P77" s="2032" t="s">
        <v>355</v>
      </c>
      <c r="Q77" s="180"/>
      <c r="R77" s="180"/>
      <c r="S77" s="182"/>
      <c r="T77" s="177"/>
    </row>
    <row r="78" spans="1:20" ht="13.9" customHeight="1">
      <c r="A78" s="2143" t="s">
        <v>497</v>
      </c>
      <c r="B78" s="2145"/>
      <c r="C78" s="2026"/>
      <c r="D78" s="2027"/>
      <c r="E78" s="2866">
        <f t="shared" si="0"/>
        <v>0</v>
      </c>
      <c r="F78" s="2028">
        <v>1</v>
      </c>
      <c r="G78" s="2029">
        <f t="shared" si="11"/>
        <v>0</v>
      </c>
      <c r="H78" s="2025">
        <v>1.3</v>
      </c>
      <c r="I78" s="2030">
        <v>0.75</v>
      </c>
      <c r="J78" s="2031">
        <v>0.15</v>
      </c>
      <c r="K78" s="2028">
        <f t="shared" si="12"/>
        <v>0</v>
      </c>
      <c r="L78" s="2028">
        <f t="shared" si="13"/>
        <v>0</v>
      </c>
      <c r="M78" s="2033">
        <f t="shared" si="14"/>
        <v>0</v>
      </c>
      <c r="N78" s="2031">
        <v>1</v>
      </c>
      <c r="O78" s="2032">
        <f t="shared" si="10"/>
        <v>0</v>
      </c>
      <c r="P78" s="2032"/>
      <c r="Q78" s="180"/>
      <c r="R78" s="180"/>
      <c r="S78" s="182"/>
      <c r="T78" s="177"/>
    </row>
    <row r="79" spans="1:20" ht="13.9" customHeight="1">
      <c r="A79" s="2143" t="s">
        <v>498</v>
      </c>
      <c r="B79" s="2145"/>
      <c r="C79" s="2026"/>
      <c r="D79" s="2027"/>
      <c r="E79" s="2866">
        <f t="shared" si="0"/>
        <v>0</v>
      </c>
      <c r="F79" s="2028">
        <v>1.4</v>
      </c>
      <c r="G79" s="2029">
        <f t="shared" si="11"/>
        <v>0</v>
      </c>
      <c r="H79" s="2025">
        <v>0.2</v>
      </c>
      <c r="I79" s="2030">
        <v>0.25</v>
      </c>
      <c r="J79" s="2031">
        <v>0</v>
      </c>
      <c r="K79" s="2028">
        <f t="shared" si="12"/>
        <v>0</v>
      </c>
      <c r="L79" s="2028">
        <f t="shared" si="13"/>
        <v>0</v>
      </c>
      <c r="M79" s="2033">
        <f t="shared" si="14"/>
        <v>0</v>
      </c>
      <c r="N79" s="2031">
        <v>0.4</v>
      </c>
      <c r="O79" s="2032">
        <f t="shared" si="10"/>
        <v>0</v>
      </c>
      <c r="P79" s="2032"/>
      <c r="Q79" s="180"/>
      <c r="R79" s="180"/>
      <c r="S79" s="182"/>
      <c r="T79" s="177"/>
    </row>
    <row r="80" spans="1:20" ht="13.9" customHeight="1">
      <c r="A80" s="2146" t="s">
        <v>499</v>
      </c>
      <c r="B80" s="2150"/>
      <c r="C80" s="2026"/>
      <c r="D80" s="2027"/>
      <c r="E80" s="2866">
        <f t="shared" si="0"/>
        <v>0</v>
      </c>
      <c r="F80" s="2031">
        <v>1</v>
      </c>
      <c r="G80" s="2029">
        <f t="shared" si="11"/>
        <v>0</v>
      </c>
      <c r="H80" s="2034">
        <v>2.2000000000000002</v>
      </c>
      <c r="I80" s="2034">
        <v>0.55000000000000004</v>
      </c>
      <c r="J80" s="2031">
        <v>0.4</v>
      </c>
      <c r="K80" s="2031">
        <f t="shared" si="12"/>
        <v>0</v>
      </c>
      <c r="L80" s="2028">
        <f t="shared" si="13"/>
        <v>0</v>
      </c>
      <c r="M80" s="2036">
        <f t="shared" si="14"/>
        <v>0</v>
      </c>
      <c r="N80" s="2031">
        <v>1.25</v>
      </c>
      <c r="O80" s="2037">
        <f t="shared" si="10"/>
        <v>0</v>
      </c>
      <c r="P80" s="2037">
        <v>40</v>
      </c>
      <c r="Q80" s="180"/>
      <c r="R80" s="180"/>
      <c r="S80" s="182"/>
      <c r="T80" s="177"/>
    </row>
    <row r="81" spans="1:20" ht="13.9" customHeight="1">
      <c r="A81" s="2146" t="s">
        <v>356</v>
      </c>
      <c r="B81" s="2151"/>
      <c r="C81" s="2026"/>
      <c r="D81" s="2027"/>
      <c r="E81" s="2866">
        <f t="shared" si="0"/>
        <v>0</v>
      </c>
      <c r="F81" s="2031"/>
      <c r="G81" s="2029">
        <f t="shared" si="11"/>
        <v>0</v>
      </c>
      <c r="H81" s="2034"/>
      <c r="I81" s="2034"/>
      <c r="J81" s="2034"/>
      <c r="K81" s="2031">
        <f t="shared" si="12"/>
        <v>0</v>
      </c>
      <c r="L81" s="2028">
        <f t="shared" si="13"/>
        <v>0</v>
      </c>
      <c r="M81" s="2036">
        <f t="shared" si="14"/>
        <v>0</v>
      </c>
      <c r="N81" s="2031"/>
      <c r="O81" s="2037">
        <f t="shared" si="10"/>
        <v>0</v>
      </c>
      <c r="P81" s="2031"/>
      <c r="Q81" s="180"/>
      <c r="R81" s="180"/>
      <c r="S81" s="182"/>
      <c r="T81" s="177"/>
    </row>
    <row r="82" spans="1:20" ht="13.9" customHeight="1">
      <c r="A82" s="2146" t="s">
        <v>357</v>
      </c>
      <c r="B82" s="2151"/>
      <c r="C82" s="2026"/>
      <c r="D82" s="2027"/>
      <c r="E82" s="2866">
        <f t="shared" si="0"/>
        <v>0</v>
      </c>
      <c r="F82" s="2031"/>
      <c r="G82" s="2029">
        <f t="shared" si="11"/>
        <v>0</v>
      </c>
      <c r="H82" s="2034"/>
      <c r="I82" s="2034"/>
      <c r="J82" s="2034"/>
      <c r="K82" s="2031">
        <f t="shared" si="12"/>
        <v>0</v>
      </c>
      <c r="L82" s="2028">
        <f t="shared" si="13"/>
        <v>0</v>
      </c>
      <c r="M82" s="2036">
        <f t="shared" si="14"/>
        <v>0</v>
      </c>
      <c r="N82" s="2031"/>
      <c r="O82" s="2037">
        <f t="shared" si="10"/>
        <v>0</v>
      </c>
      <c r="P82" s="2031"/>
      <c r="Q82" s="180"/>
      <c r="R82" s="180"/>
      <c r="S82" s="182"/>
      <c r="T82" s="177"/>
    </row>
    <row r="83" spans="1:20" ht="13.9" customHeight="1">
      <c r="A83" s="2146" t="s">
        <v>358</v>
      </c>
      <c r="B83" s="2151"/>
      <c r="C83" s="2026"/>
      <c r="D83" s="2027"/>
      <c r="E83" s="2866">
        <f t="shared" si="0"/>
        <v>0</v>
      </c>
      <c r="F83" s="2031"/>
      <c r="G83" s="2029">
        <f t="shared" si="11"/>
        <v>0</v>
      </c>
      <c r="H83" s="2034"/>
      <c r="I83" s="2034"/>
      <c r="J83" s="2034"/>
      <c r="K83" s="2031">
        <f t="shared" si="12"/>
        <v>0</v>
      </c>
      <c r="L83" s="2028">
        <f t="shared" si="13"/>
        <v>0</v>
      </c>
      <c r="M83" s="2036">
        <f t="shared" si="14"/>
        <v>0</v>
      </c>
      <c r="N83" s="2031"/>
      <c r="O83" s="2037">
        <f t="shared" si="10"/>
        <v>0</v>
      </c>
      <c r="P83" s="2031"/>
      <c r="Q83" s="180"/>
      <c r="R83" s="180"/>
      <c r="S83" s="182"/>
      <c r="T83" s="177"/>
    </row>
    <row r="84" spans="1:20" ht="13.9" customHeight="1">
      <c r="A84" s="2152" t="s">
        <v>359</v>
      </c>
      <c r="B84" s="2153"/>
      <c r="C84" s="2018"/>
      <c r="D84" s="2019"/>
      <c r="E84" s="2867">
        <f t="shared" si="0"/>
        <v>0</v>
      </c>
      <c r="F84" s="2017"/>
      <c r="G84" s="2020">
        <f t="shared" si="11"/>
        <v>0</v>
      </c>
      <c r="H84" s="2017"/>
      <c r="I84" s="2017"/>
      <c r="J84" s="2017"/>
      <c r="K84" s="2021">
        <f t="shared" si="12"/>
        <v>0</v>
      </c>
      <c r="L84" s="2022">
        <f t="shared" si="13"/>
        <v>0</v>
      </c>
      <c r="M84" s="2023">
        <f t="shared" si="14"/>
        <v>0</v>
      </c>
      <c r="N84" s="2017"/>
      <c r="O84" s="2024">
        <f t="shared" si="10"/>
        <v>0</v>
      </c>
      <c r="P84" s="2017"/>
      <c r="Q84" s="180"/>
      <c r="R84" s="180"/>
      <c r="S84" s="182"/>
      <c r="T84" s="177"/>
    </row>
    <row r="85" spans="1:20" ht="13.9" customHeight="1">
      <c r="A85" s="178"/>
      <c r="B85" s="178"/>
      <c r="C85" s="178"/>
      <c r="D85" s="178"/>
      <c r="E85" s="178"/>
      <c r="F85" s="541"/>
      <c r="G85" s="541"/>
      <c r="H85" s="541"/>
      <c r="I85" s="541"/>
      <c r="J85" s="541"/>
      <c r="K85" s="541"/>
      <c r="L85" s="541"/>
      <c r="M85" s="541"/>
      <c r="N85" s="541"/>
      <c r="O85" s="541"/>
      <c r="P85" s="541"/>
      <c r="Q85" s="180"/>
      <c r="R85" s="180"/>
      <c r="S85" s="182"/>
      <c r="T85" s="177"/>
    </row>
    <row r="86" spans="1:20" ht="13.9" customHeight="1">
      <c r="A86" s="4204" t="s">
        <v>307</v>
      </c>
      <c r="B86" s="4205"/>
      <c r="C86" s="4205"/>
      <c r="D86" s="4205"/>
      <c r="E86" s="4205"/>
      <c r="F86" s="4205"/>
      <c r="G86" s="4205"/>
      <c r="H86" s="4205"/>
      <c r="I86" s="4205"/>
      <c r="J86" s="4205"/>
      <c r="K86" s="4205"/>
      <c r="L86" s="4205"/>
      <c r="M86" s="4205"/>
      <c r="N86" s="4205"/>
      <c r="O86" s="4205"/>
      <c r="P86" s="4205"/>
      <c r="Q86" s="4205"/>
      <c r="R86" s="4205"/>
      <c r="S86" s="180"/>
      <c r="T86" s="177"/>
    </row>
    <row r="87" spans="1:20" ht="13.9" customHeight="1">
      <c r="A87" s="597"/>
      <c r="B87" s="597"/>
      <c r="C87" s="597"/>
      <c r="D87" s="597"/>
      <c r="E87" s="597"/>
      <c r="F87" s="597"/>
      <c r="G87" s="597"/>
      <c r="H87" s="597"/>
      <c r="I87" s="597"/>
      <c r="J87" s="597"/>
      <c r="K87" s="597"/>
      <c r="L87" s="597"/>
      <c r="M87" s="597"/>
      <c r="N87" s="597"/>
      <c r="O87" s="597"/>
      <c r="P87" s="597"/>
      <c r="Q87" s="597"/>
      <c r="R87" s="597"/>
      <c r="S87" s="180"/>
      <c r="T87" s="177"/>
    </row>
    <row r="88" spans="1:20" ht="13.9" customHeight="1">
      <c r="A88" s="4201" t="s">
        <v>367</v>
      </c>
      <c r="B88" s="4202"/>
      <c r="C88" s="4202"/>
      <c r="D88" s="4202"/>
      <c r="E88" s="4202"/>
      <c r="F88" s="180"/>
      <c r="G88" s="180"/>
      <c r="H88" s="180"/>
      <c r="I88" s="178"/>
      <c r="J88" s="178"/>
      <c r="K88" s="181"/>
      <c r="L88" s="181"/>
      <c r="M88" s="181"/>
      <c r="N88" s="181"/>
      <c r="O88" s="181"/>
      <c r="P88" s="181"/>
      <c r="Q88" s="181"/>
      <c r="R88" s="178"/>
      <c r="S88" s="180"/>
      <c r="T88" s="177"/>
    </row>
    <row r="89" spans="1:20">
      <c r="A89" s="183"/>
      <c r="B89" s="183"/>
      <c r="C89" s="183"/>
      <c r="D89" s="183"/>
      <c r="F89" s="185"/>
      <c r="G89" s="185"/>
      <c r="H89" s="185"/>
      <c r="I89" s="185"/>
      <c r="J89" s="185"/>
      <c r="K89" s="185"/>
      <c r="L89" s="185"/>
      <c r="M89" s="185"/>
      <c r="N89" s="185"/>
      <c r="O89" s="185"/>
      <c r="P89" s="186"/>
      <c r="Q89" s="179"/>
      <c r="R89" s="185"/>
      <c r="S89" s="187"/>
      <c r="T89" s="177"/>
    </row>
    <row r="90" spans="1:20" s="234" customFormat="1" ht="14.25" customHeight="1">
      <c r="A90" s="183"/>
      <c r="B90" s="183"/>
      <c r="C90" s="183"/>
      <c r="D90" s="183"/>
      <c r="E90" s="183"/>
      <c r="F90" s="185"/>
      <c r="G90" s="185"/>
      <c r="H90" s="187"/>
      <c r="I90" s="187"/>
      <c r="J90" s="187"/>
      <c r="K90" s="185"/>
      <c r="L90" s="185"/>
      <c r="M90" s="185"/>
      <c r="N90" s="185"/>
      <c r="O90" s="185"/>
      <c r="P90" s="185"/>
      <c r="Q90" s="187"/>
      <c r="R90" s="185"/>
      <c r="S90" s="187"/>
      <c r="T90" s="177"/>
    </row>
    <row r="91" spans="1:20" s="234" customFormat="1" ht="14.25" customHeight="1">
      <c r="A91" s="183"/>
      <c r="B91" s="183"/>
      <c r="C91" s="183"/>
      <c r="D91" s="183"/>
      <c r="E91" s="183"/>
      <c r="F91" s="185"/>
      <c r="G91" s="185"/>
      <c r="H91" s="187"/>
      <c r="I91" s="187"/>
      <c r="J91" s="187"/>
      <c r="K91" s="185"/>
      <c r="L91" s="185"/>
      <c r="M91" s="185"/>
      <c r="N91" s="185"/>
      <c r="O91" s="185"/>
      <c r="P91" s="185"/>
      <c r="Q91" s="187"/>
      <c r="R91" s="185"/>
      <c r="S91" s="187"/>
      <c r="T91" s="177"/>
    </row>
    <row r="92" spans="1:20" s="234" customFormat="1" ht="14.25" customHeight="1">
      <c r="A92" s="183"/>
      <c r="B92" s="183"/>
      <c r="C92" s="183"/>
      <c r="D92" s="183"/>
      <c r="E92" s="183"/>
      <c r="F92" s="185"/>
      <c r="G92" s="185"/>
      <c r="H92" s="187"/>
      <c r="I92" s="187"/>
      <c r="J92" s="187"/>
      <c r="K92" s="185"/>
      <c r="L92" s="185"/>
      <c r="M92" s="185"/>
      <c r="N92" s="185"/>
      <c r="O92" s="185"/>
      <c r="P92" s="185"/>
      <c r="Q92" s="187"/>
      <c r="R92" s="185"/>
      <c r="S92" s="187"/>
      <c r="T92" s="177"/>
    </row>
    <row r="93" spans="1:20" s="234" customFormat="1" ht="14.25" customHeight="1">
      <c r="A93" s="183"/>
      <c r="B93" s="183"/>
      <c r="C93" s="183"/>
      <c r="D93" s="183"/>
      <c r="E93" s="183"/>
      <c r="F93" s="185"/>
      <c r="G93" s="185"/>
      <c r="H93" s="187"/>
      <c r="I93" s="187"/>
      <c r="J93" s="187"/>
      <c r="K93" s="185"/>
      <c r="L93" s="185"/>
      <c r="M93" s="185"/>
      <c r="N93" s="185"/>
      <c r="O93" s="185"/>
      <c r="P93" s="185"/>
      <c r="Q93" s="187"/>
      <c r="R93" s="185"/>
      <c r="S93" s="187"/>
      <c r="T93" s="177"/>
    </row>
    <row r="94" spans="1:20" s="234" customFormat="1" ht="14.25" customHeight="1">
      <c r="A94" s="183"/>
      <c r="B94" s="183"/>
      <c r="C94" s="183"/>
      <c r="D94" s="183"/>
      <c r="E94" s="183"/>
      <c r="F94" s="185"/>
      <c r="G94" s="185"/>
      <c r="H94" s="187"/>
      <c r="I94" s="187"/>
      <c r="J94" s="187"/>
      <c r="K94" s="185"/>
      <c r="L94" s="185"/>
      <c r="M94" s="185"/>
      <c r="N94" s="185"/>
      <c r="O94" s="185"/>
      <c r="P94" s="185"/>
      <c r="Q94" s="187"/>
      <c r="R94" s="185"/>
      <c r="S94" s="187"/>
      <c r="T94" s="177"/>
    </row>
    <row r="95" spans="1:20" s="234" customFormat="1" ht="14.25" customHeight="1">
      <c r="A95" s="183"/>
      <c r="B95" s="183"/>
      <c r="C95" s="183"/>
      <c r="D95" s="183"/>
      <c r="E95" s="183"/>
      <c r="F95" s="185"/>
      <c r="G95" s="185"/>
      <c r="H95" s="187"/>
      <c r="I95" s="187"/>
      <c r="J95" s="187"/>
      <c r="K95" s="185"/>
      <c r="L95" s="185"/>
      <c r="M95" s="185"/>
      <c r="N95" s="185"/>
      <c r="O95" s="185"/>
      <c r="P95" s="185"/>
      <c r="Q95" s="187"/>
      <c r="R95" s="185"/>
      <c r="S95" s="187"/>
      <c r="T95" s="177"/>
    </row>
    <row r="96" spans="1:20" s="234" customFormat="1" ht="14.25" customHeight="1">
      <c r="A96" s="183"/>
      <c r="B96" s="185"/>
      <c r="C96" s="185"/>
      <c r="D96" s="185"/>
      <c r="E96" s="185"/>
      <c r="F96" s="185"/>
      <c r="G96" s="185"/>
      <c r="H96" s="185"/>
      <c r="I96" s="185"/>
      <c r="J96" s="185"/>
      <c r="K96" s="185"/>
      <c r="L96" s="185"/>
      <c r="M96" s="185"/>
      <c r="N96" s="185"/>
      <c r="O96" s="185"/>
      <c r="P96" s="186"/>
      <c r="Q96" s="187"/>
      <c r="R96" s="189"/>
      <c r="S96" s="189"/>
      <c r="T96" s="177"/>
    </row>
    <row r="97" spans="1:20" s="234" customFormat="1" ht="14.25" customHeight="1">
      <c r="A97" s="185"/>
      <c r="B97" s="185"/>
      <c r="C97" s="185"/>
      <c r="D97" s="185"/>
      <c r="E97" s="185"/>
      <c r="F97" s="185"/>
      <c r="G97" s="185"/>
      <c r="H97" s="185"/>
      <c r="I97" s="185"/>
      <c r="J97" s="185"/>
      <c r="K97" s="185"/>
      <c r="L97" s="185"/>
      <c r="M97" s="185"/>
      <c r="N97" s="185"/>
      <c r="O97" s="185"/>
      <c r="P97" s="185"/>
      <c r="Q97" s="187"/>
      <c r="R97" s="189"/>
      <c r="S97" s="189"/>
      <c r="T97" s="177"/>
    </row>
    <row r="98" spans="1:20" s="234" customFormat="1" ht="14.25" customHeight="1">
      <c r="A98" s="185"/>
      <c r="B98" s="185"/>
      <c r="C98" s="185"/>
      <c r="D98" s="185"/>
      <c r="E98" s="185"/>
      <c r="F98" s="185"/>
      <c r="G98" s="185"/>
      <c r="H98" s="185"/>
      <c r="I98" s="185"/>
      <c r="J98" s="185"/>
      <c r="K98" s="185"/>
      <c r="L98" s="185"/>
      <c r="M98" s="185"/>
      <c r="N98" s="185"/>
      <c r="O98" s="185"/>
      <c r="P98" s="185"/>
      <c r="Q98" s="187"/>
      <c r="R98" s="189"/>
      <c r="S98" s="189"/>
      <c r="T98" s="177"/>
    </row>
    <row r="99" spans="1:20" s="234" customFormat="1" ht="14.25" customHeight="1">
      <c r="A99" s="185"/>
      <c r="B99" s="185"/>
      <c r="C99" s="185"/>
      <c r="D99" s="185"/>
      <c r="E99" s="185"/>
      <c r="F99" s="185"/>
      <c r="G99" s="185"/>
      <c r="H99" s="185"/>
      <c r="I99" s="185"/>
      <c r="J99" s="185"/>
      <c r="K99" s="185"/>
      <c r="L99" s="185"/>
      <c r="M99" s="185"/>
      <c r="N99" s="185"/>
      <c r="O99" s="185"/>
      <c r="P99" s="185"/>
      <c r="Q99" s="187"/>
      <c r="R99" s="189"/>
      <c r="S99" s="189"/>
      <c r="T99" s="177"/>
    </row>
    <row r="100" spans="1:20" s="234" customFormat="1" ht="14.25" customHeight="1">
      <c r="A100" s="185"/>
      <c r="B100" s="185"/>
      <c r="C100" s="185"/>
      <c r="D100" s="185"/>
      <c r="E100" s="185"/>
      <c r="F100" s="185"/>
      <c r="G100" s="185"/>
      <c r="H100" s="185"/>
      <c r="I100" s="185"/>
      <c r="J100" s="185"/>
      <c r="K100" s="185"/>
      <c r="L100" s="185"/>
      <c r="M100" s="185"/>
      <c r="N100" s="185"/>
      <c r="O100" s="185"/>
      <c r="P100" s="185"/>
      <c r="Q100" s="187"/>
      <c r="R100" s="189"/>
      <c r="S100" s="189"/>
      <c r="T100" s="177"/>
    </row>
    <row r="101" spans="1:20" s="234" customFormat="1" ht="14.25" customHeight="1">
      <c r="A101" s="185"/>
      <c r="B101" s="185"/>
      <c r="C101" s="185"/>
      <c r="D101" s="185"/>
      <c r="E101" s="185"/>
      <c r="F101" s="185"/>
      <c r="G101" s="185"/>
      <c r="H101" s="185"/>
      <c r="I101" s="185"/>
      <c r="J101" s="185"/>
      <c r="K101" s="185"/>
      <c r="L101" s="185"/>
      <c r="M101" s="185"/>
      <c r="N101" s="185"/>
      <c r="O101" s="185"/>
      <c r="P101" s="185"/>
      <c r="Q101" s="187"/>
      <c r="R101" s="189"/>
      <c r="S101" s="189"/>
      <c r="T101" s="177"/>
    </row>
    <row r="102" spans="1:20" s="234" customFormat="1">
      <c r="A102" s="190"/>
      <c r="B102" s="190"/>
      <c r="C102" s="190"/>
      <c r="D102" s="190"/>
      <c r="E102" s="190"/>
      <c r="F102" s="190"/>
      <c r="G102" s="190"/>
      <c r="H102" s="191"/>
      <c r="I102" s="191"/>
      <c r="J102" s="191"/>
      <c r="K102" s="190"/>
      <c r="L102" s="190"/>
      <c r="M102" s="190"/>
      <c r="N102" s="190"/>
      <c r="O102" s="190"/>
      <c r="P102" s="190"/>
      <c r="Q102" s="189"/>
      <c r="R102" s="189"/>
      <c r="S102" s="189"/>
      <c r="T102" s="177"/>
    </row>
    <row r="103" spans="1:20" s="234" customFormat="1">
      <c r="A103" s="183"/>
      <c r="B103" s="183"/>
      <c r="C103" s="183"/>
      <c r="D103" s="183"/>
      <c r="E103" s="183"/>
      <c r="F103" s="183"/>
      <c r="G103" s="183"/>
      <c r="H103" s="189"/>
      <c r="I103" s="189"/>
      <c r="J103" s="189"/>
      <c r="K103" s="183"/>
      <c r="L103" s="183"/>
      <c r="M103" s="183"/>
      <c r="N103" s="183"/>
      <c r="O103" s="183"/>
      <c r="P103" s="183"/>
      <c r="Q103" s="189"/>
      <c r="R103" s="189"/>
      <c r="S103" s="189"/>
      <c r="T103" s="177"/>
    </row>
    <row r="104" spans="1:20" s="234" customFormat="1">
      <c r="A104" s="183"/>
      <c r="B104" s="183"/>
      <c r="C104" s="183"/>
      <c r="D104" s="183"/>
      <c r="E104" s="183"/>
      <c r="F104" s="183"/>
      <c r="G104" s="183"/>
      <c r="H104" s="189"/>
      <c r="I104" s="189"/>
      <c r="J104" s="189"/>
      <c r="K104" s="183"/>
      <c r="L104" s="183"/>
      <c r="M104" s="183"/>
      <c r="N104" s="183"/>
      <c r="O104" s="183"/>
      <c r="P104" s="183"/>
      <c r="Q104" s="189"/>
      <c r="R104" s="189"/>
      <c r="S104" s="189"/>
      <c r="T104" s="177"/>
    </row>
    <row r="105" spans="1:20" s="234" customFormat="1">
      <c r="A105" s="183"/>
      <c r="B105" s="183"/>
      <c r="C105" s="183"/>
      <c r="D105" s="183"/>
      <c r="E105" s="183"/>
      <c r="F105" s="183"/>
      <c r="G105" s="183"/>
      <c r="H105" s="189"/>
      <c r="I105" s="189"/>
      <c r="J105" s="189"/>
      <c r="K105" s="183"/>
      <c r="L105" s="183"/>
      <c r="M105" s="183"/>
      <c r="N105" s="183"/>
      <c r="O105" s="183"/>
      <c r="P105" s="183"/>
      <c r="Q105" s="189"/>
      <c r="R105" s="189"/>
      <c r="S105" s="189"/>
      <c r="T105" s="177"/>
    </row>
    <row r="106" spans="1:20" s="234" customFormat="1">
      <c r="A106" s="183"/>
      <c r="B106" s="183"/>
      <c r="C106" s="183"/>
      <c r="D106" s="183"/>
      <c r="E106" s="183"/>
      <c r="F106" s="183"/>
      <c r="G106" s="183"/>
      <c r="H106" s="189"/>
      <c r="I106" s="189"/>
      <c r="J106" s="189"/>
      <c r="K106" s="183"/>
      <c r="L106" s="183"/>
      <c r="M106" s="183"/>
      <c r="N106" s="183"/>
      <c r="O106" s="183"/>
      <c r="P106" s="183"/>
      <c r="Q106" s="189"/>
      <c r="R106" s="189"/>
      <c r="S106" s="189"/>
      <c r="T106" s="177"/>
    </row>
    <row r="107" spans="1:20" s="234" customFormat="1">
      <c r="A107" s="183"/>
      <c r="B107" s="183"/>
      <c r="C107" s="183"/>
      <c r="D107" s="183"/>
      <c r="E107" s="183"/>
      <c r="F107" s="183"/>
      <c r="G107" s="183"/>
      <c r="H107" s="189"/>
      <c r="I107" s="189"/>
      <c r="J107" s="189"/>
      <c r="K107" s="183"/>
      <c r="L107" s="183"/>
      <c r="M107" s="183"/>
      <c r="N107" s="183"/>
      <c r="O107" s="183"/>
      <c r="P107" s="183"/>
      <c r="Q107" s="183"/>
      <c r="R107" s="192"/>
      <c r="S107" s="193" t="s">
        <v>257</v>
      </c>
      <c r="T107" s="177"/>
    </row>
    <row r="108" spans="1:20" s="234" customFormat="1">
      <c r="A108" s="183"/>
      <c r="B108" s="183"/>
      <c r="C108" s="183"/>
      <c r="D108" s="183"/>
      <c r="E108" s="183"/>
      <c r="F108" s="183"/>
      <c r="G108" s="183"/>
      <c r="H108" s="189"/>
      <c r="I108" s="189"/>
      <c r="J108" s="189"/>
      <c r="K108" s="183"/>
      <c r="L108" s="183"/>
      <c r="M108" s="183"/>
      <c r="N108" s="183"/>
      <c r="O108" s="183"/>
      <c r="P108" s="183"/>
      <c r="Q108" s="183"/>
      <c r="R108" s="192" t="s">
        <v>652</v>
      </c>
      <c r="S108" s="194" t="s">
        <v>155</v>
      </c>
      <c r="T108" s="177"/>
    </row>
    <row r="109" spans="1:20" s="234" customFormat="1">
      <c r="A109" s="4216" t="s">
        <v>784</v>
      </c>
      <c r="B109" s="4216"/>
      <c r="C109" s="4216"/>
      <c r="D109" s="4216"/>
      <c r="E109" s="4216"/>
      <c r="F109" s="4216"/>
      <c r="G109" s="4216"/>
      <c r="H109" s="4216"/>
      <c r="I109" s="1147"/>
      <c r="J109" s="1147"/>
      <c r="K109" s="183"/>
      <c r="L109" s="183"/>
      <c r="M109" s="183"/>
      <c r="N109" s="183"/>
      <c r="O109" s="183"/>
      <c r="P109" s="183"/>
      <c r="Q109" s="183"/>
      <c r="R109" s="176" t="s">
        <v>168</v>
      </c>
      <c r="S109" s="195" t="s">
        <v>157</v>
      </c>
      <c r="T109" s="177"/>
    </row>
    <row r="110" spans="1:20">
      <c r="A110" s="177"/>
      <c r="B110" s="177"/>
      <c r="C110" s="177"/>
      <c r="D110" s="177"/>
      <c r="E110" s="177"/>
      <c r="F110" s="177"/>
      <c r="G110" s="177"/>
      <c r="H110" s="177"/>
      <c r="I110" s="177"/>
      <c r="J110" s="177"/>
      <c r="K110" s="177"/>
      <c r="L110" s="177"/>
      <c r="M110" s="177"/>
      <c r="N110" s="177"/>
      <c r="O110" s="177"/>
      <c r="P110" s="177"/>
      <c r="Q110" s="177"/>
      <c r="R110" s="177"/>
      <c r="S110" s="177"/>
      <c r="T110" s="177"/>
    </row>
  </sheetData>
  <sheetProtection password="FA80" sheet="1" objects="1" scenarios="1"/>
  <mergeCells count="31">
    <mergeCell ref="I9:Q9"/>
    <mergeCell ref="I10:Q10"/>
    <mergeCell ref="A109:H109"/>
    <mergeCell ref="I17:J17"/>
    <mergeCell ref="N16:R17"/>
    <mergeCell ref="I16:J16"/>
    <mergeCell ref="A17:B17"/>
    <mergeCell ref="F17:H17"/>
    <mergeCell ref="A16:B16"/>
    <mergeCell ref="F16:H16"/>
    <mergeCell ref="A18:B18"/>
    <mergeCell ref="A19:B19"/>
    <mergeCell ref="F18:G18"/>
    <mergeCell ref="A21:B22"/>
    <mergeCell ref="C21:D21"/>
    <mergeCell ref="A3:A4"/>
    <mergeCell ref="H1:P1"/>
    <mergeCell ref="A88:E88"/>
    <mergeCell ref="F19:N19"/>
    <mergeCell ref="A86:R86"/>
    <mergeCell ref="A9:B9"/>
    <mergeCell ref="A10:B10"/>
    <mergeCell ref="A6:P6"/>
    <mergeCell ref="C8:D8"/>
    <mergeCell ref="E8:F8"/>
    <mergeCell ref="F14:I14"/>
    <mergeCell ref="A12:B12"/>
    <mergeCell ref="A13:B13"/>
    <mergeCell ref="J13:R13"/>
    <mergeCell ref="F12:I12"/>
    <mergeCell ref="F13:I13"/>
  </mergeCells>
  <phoneticPr fontId="133" type="noConversion"/>
  <hyperlinks>
    <hyperlink ref="S108" r:id="rId1"/>
    <hyperlink ref="S109" r:id="rId2"/>
    <hyperlink ref="A21:B22" location="Jam!B109" display="Please read the &quot;Disclaimer&quot; before using this spreadsheet."/>
    <hyperlink ref="S2" r:id="rId3" display="www.yobrew.co.uk"/>
  </hyperlinks>
  <printOptions horizontalCentered="1"/>
  <pageMargins left="0.39370078740157483" right="0.39370078740157483" top="0.39370078740157483" bottom="0.70866141732283472" header="0.31496062992125984" footer="0.51181102362204722"/>
  <pageSetup paperSize="9" scale="52" orientation="portrait" horizontalDpi="300" verticalDpi="300" r:id="rId4"/>
  <headerFooter alignWithMargins="0"/>
  <drawing r:id="rId5"/>
</worksheet>
</file>

<file path=xl/worksheets/sheet2.xml><?xml version="1.0" encoding="utf-8"?>
<worksheet xmlns="http://schemas.openxmlformats.org/spreadsheetml/2006/main" xmlns:r="http://schemas.openxmlformats.org/officeDocument/2006/relationships">
  <sheetPr>
    <pageSetUpPr fitToPage="1"/>
  </sheetPr>
  <dimension ref="A1:Y106"/>
  <sheetViews>
    <sheetView zoomScale="75" zoomScaleNormal="75" zoomScaleSheetLayoutView="75" workbookViewId="0">
      <selection activeCell="D1" sqref="D1"/>
    </sheetView>
  </sheetViews>
  <sheetFormatPr defaultRowHeight="15"/>
  <cols>
    <col min="1" max="1" width="1.140625" style="274" customWidth="1"/>
    <col min="2" max="2" width="2.85546875" style="274" customWidth="1"/>
    <col min="3" max="3" width="36.5703125" style="274" customWidth="1"/>
    <col min="4" max="6" width="10" style="274" customWidth="1"/>
    <col min="7" max="12" width="10.140625" style="274" customWidth="1"/>
    <col min="13" max="13" width="10" style="274" customWidth="1"/>
    <col min="14" max="15" width="9.140625" style="274" customWidth="1"/>
    <col min="16" max="18" width="10.28515625" style="274" customWidth="1"/>
    <col min="19" max="19" width="7" style="274" customWidth="1"/>
    <col min="20" max="20" width="1.140625" style="274" customWidth="1"/>
    <col min="21" max="21" width="3.85546875" style="1946" hidden="1" customWidth="1"/>
    <col min="22" max="22" width="8.140625" style="1946" hidden="1" customWidth="1"/>
    <col min="23" max="23" width="7.7109375" style="1946" hidden="1" customWidth="1"/>
    <col min="24" max="16384" width="9.140625" style="596"/>
  </cols>
  <sheetData>
    <row r="1" spans="1:23" s="2277" customFormat="1" ht="22.5">
      <c r="A1" s="3000" t="s">
        <v>1649</v>
      </c>
      <c r="B1" s="3000"/>
      <c r="C1" s="3000"/>
      <c r="D1" s="2269"/>
      <c r="E1" s="2270"/>
      <c r="F1" s="2271"/>
      <c r="G1" s="2271"/>
      <c r="H1" s="3001" t="s">
        <v>1605</v>
      </c>
      <c r="I1" s="3001"/>
      <c r="J1" s="3001"/>
      <c r="K1" s="2272"/>
      <c r="L1" s="2273"/>
      <c r="M1" s="2274"/>
      <c r="N1" s="2275"/>
      <c r="O1" s="2275"/>
      <c r="P1" s="2273"/>
      <c r="Q1" s="2994" t="s">
        <v>1650</v>
      </c>
      <c r="R1" s="2994"/>
      <c r="S1" s="2994"/>
      <c r="T1" s="2269"/>
      <c r="U1" s="2276"/>
      <c r="V1" s="2276"/>
      <c r="W1" s="2276"/>
    </row>
    <row r="2" spans="1:23" ht="12" customHeight="1">
      <c r="A2" s="2372"/>
      <c r="B2" s="2372"/>
      <c r="C2" s="2372"/>
      <c r="D2" s="249"/>
      <c r="E2" s="249"/>
      <c r="F2" s="249"/>
      <c r="G2" s="249"/>
      <c r="H2" s="249"/>
      <c r="I2" s="249"/>
      <c r="J2" s="249"/>
      <c r="K2" s="249"/>
      <c r="L2" s="249"/>
      <c r="M2" s="249"/>
      <c r="N2" s="249"/>
      <c r="O2" s="249"/>
      <c r="P2" s="249"/>
      <c r="Q2" s="2995" t="s">
        <v>976</v>
      </c>
      <c r="R2" s="2995"/>
      <c r="S2" s="2995"/>
      <c r="T2" s="253"/>
      <c r="U2" s="1704"/>
      <c r="V2" s="1704"/>
      <c r="W2" s="1704"/>
    </row>
    <row r="3" spans="1:23" ht="9.75" customHeight="1">
      <c r="A3" s="254"/>
      <c r="B3" s="2996" t="s">
        <v>381</v>
      </c>
      <c r="C3" s="2996"/>
      <c r="D3" s="254"/>
      <c r="E3" s="254"/>
      <c r="F3" s="254"/>
      <c r="G3" s="254"/>
      <c r="H3" s="254"/>
      <c r="I3" s="254"/>
      <c r="J3" s="254"/>
      <c r="K3" s="254"/>
      <c r="L3" s="254"/>
      <c r="M3" s="254"/>
      <c r="N3" s="254"/>
      <c r="O3" s="254"/>
      <c r="P3" s="254"/>
      <c r="Q3" s="2995" t="s">
        <v>376</v>
      </c>
      <c r="R3" s="2995"/>
      <c r="S3" s="2995"/>
      <c r="T3" s="255"/>
      <c r="U3" s="1704"/>
      <c r="V3" s="1704"/>
      <c r="W3" s="1704"/>
    </row>
    <row r="4" spans="1:23" ht="18.75" customHeight="1">
      <c r="A4" s="248"/>
      <c r="B4" s="2996"/>
      <c r="C4" s="2996"/>
      <c r="D4" s="250"/>
      <c r="E4" s="250"/>
      <c r="F4" s="250"/>
      <c r="G4" s="254"/>
      <c r="H4" s="254"/>
      <c r="I4" s="254"/>
      <c r="J4" s="250"/>
      <c r="K4" s="250"/>
      <c r="L4" s="250"/>
      <c r="M4" s="250"/>
      <c r="N4" s="250"/>
      <c r="O4" s="250"/>
      <c r="P4" s="250"/>
      <c r="Q4" s="2997" t="s">
        <v>1049</v>
      </c>
      <c r="R4" s="2997"/>
      <c r="S4" s="2997"/>
      <c r="T4" s="248"/>
      <c r="U4" s="1704"/>
      <c r="V4" s="1704"/>
      <c r="W4" s="1704"/>
    </row>
    <row r="5" spans="1:23" ht="17.25" customHeight="1">
      <c r="A5" s="253"/>
      <c r="B5" s="256"/>
      <c r="C5" s="1231" t="s">
        <v>1512</v>
      </c>
      <c r="D5" s="2889" t="s">
        <v>1804</v>
      </c>
      <c r="E5" s="2889" t="s">
        <v>181</v>
      </c>
      <c r="F5" s="2889" t="s">
        <v>1805</v>
      </c>
      <c r="G5" s="2890"/>
      <c r="H5" s="2890"/>
      <c r="I5" s="2890"/>
      <c r="J5" s="2889" t="s">
        <v>181</v>
      </c>
      <c r="K5" s="2889" t="s">
        <v>1804</v>
      </c>
      <c r="L5" s="2889" t="s">
        <v>1805</v>
      </c>
      <c r="M5" s="2891"/>
      <c r="N5" s="2892"/>
      <c r="O5" s="2892"/>
      <c r="P5" s="2889" t="s">
        <v>181</v>
      </c>
      <c r="Q5" s="2889" t="s">
        <v>1805</v>
      </c>
      <c r="R5" s="2889" t="s">
        <v>1804</v>
      </c>
      <c r="S5" s="253"/>
      <c r="T5" s="253"/>
      <c r="U5" s="1704"/>
      <c r="V5" s="1704"/>
      <c r="W5" s="1704"/>
    </row>
    <row r="6" spans="1:23" ht="17.25" customHeight="1">
      <c r="A6" s="253"/>
      <c r="B6" s="253"/>
      <c r="C6" s="259" t="s">
        <v>978</v>
      </c>
      <c r="D6" s="260">
        <f>E6/3.7854</f>
        <v>1.1887779362815025</v>
      </c>
      <c r="E6" s="261">
        <v>4.5</v>
      </c>
      <c r="F6" s="260">
        <f>D6*(5/6)</f>
        <v>0.99064828023458551</v>
      </c>
      <c r="G6" s="2395"/>
      <c r="H6" s="2395"/>
      <c r="I6" s="2395"/>
      <c r="J6" s="260">
        <f>3.7854*K6</f>
        <v>3.7854000000000001</v>
      </c>
      <c r="K6" s="261">
        <v>1</v>
      </c>
      <c r="L6" s="260">
        <f>K6*(5/6)</f>
        <v>0.83333333333333337</v>
      </c>
      <c r="M6" s="2483"/>
      <c r="N6" s="251"/>
      <c r="O6" s="251"/>
      <c r="P6" s="260">
        <f>3.7854*R6</f>
        <v>22.712400000000002</v>
      </c>
      <c r="Q6" s="261">
        <v>5</v>
      </c>
      <c r="R6" s="260">
        <f>Q6*(6/5)</f>
        <v>6</v>
      </c>
      <c r="S6" s="253"/>
      <c r="T6" s="253"/>
      <c r="U6" s="1704"/>
      <c r="V6" s="1704"/>
      <c r="W6" s="1704"/>
    </row>
    <row r="7" spans="1:23" ht="17.25" customHeight="1">
      <c r="A7" s="253"/>
      <c r="B7" s="253"/>
      <c r="C7" s="262" t="s">
        <v>979</v>
      </c>
      <c r="D7" s="2483"/>
      <c r="E7" s="2483"/>
      <c r="F7" s="2483"/>
      <c r="G7" s="2395"/>
      <c r="H7" s="2395"/>
      <c r="I7" s="2395"/>
      <c r="J7" s="2483"/>
      <c r="K7" s="2483"/>
      <c r="L7" s="2483"/>
      <c r="M7" s="2483"/>
      <c r="N7" s="251"/>
      <c r="O7" s="251"/>
      <c r="P7" s="2483"/>
      <c r="Q7" s="2483"/>
      <c r="R7" s="2483"/>
      <c r="S7" s="253"/>
      <c r="T7" s="253"/>
      <c r="U7" s="1704"/>
      <c r="V7" s="1704"/>
      <c r="W7" s="1704"/>
    </row>
    <row r="8" spans="1:23" ht="17.25" customHeight="1">
      <c r="A8" s="253"/>
      <c r="B8" s="253"/>
      <c r="C8" s="262" t="s">
        <v>980</v>
      </c>
      <c r="D8" s="2889" t="s">
        <v>1806</v>
      </c>
      <c r="E8" s="2889" t="s">
        <v>181</v>
      </c>
      <c r="F8" s="2889" t="s">
        <v>1807</v>
      </c>
      <c r="G8" s="2890"/>
      <c r="H8" s="2890"/>
      <c r="I8" s="2890"/>
      <c r="J8" s="2893" t="s">
        <v>181</v>
      </c>
      <c r="K8" s="2893" t="s">
        <v>1806</v>
      </c>
      <c r="L8" s="2893" t="s">
        <v>1807</v>
      </c>
      <c r="M8" s="2891"/>
      <c r="N8" s="2892"/>
      <c r="O8" s="2892"/>
      <c r="P8" s="2889" t="s">
        <v>181</v>
      </c>
      <c r="Q8" s="2889" t="s">
        <v>1807</v>
      </c>
      <c r="R8" s="2889" t="s">
        <v>1806</v>
      </c>
      <c r="S8" s="253"/>
      <c r="T8" s="253"/>
      <c r="U8" s="1704"/>
      <c r="V8" s="1704"/>
      <c r="W8" s="1704"/>
    </row>
    <row r="9" spans="1:23" ht="17.25" customHeight="1">
      <c r="A9" s="253"/>
      <c r="B9" s="253"/>
      <c r="C9" s="262" t="s">
        <v>1621</v>
      </c>
      <c r="D9" s="260">
        <f>8*E9/3.7854</f>
        <v>1.0566914989168912</v>
      </c>
      <c r="E9" s="261">
        <v>0.5</v>
      </c>
      <c r="F9" s="2480">
        <f>D9*(5/6)</f>
        <v>0.88057624909740939</v>
      </c>
      <c r="G9" s="2395"/>
      <c r="H9" s="2395"/>
      <c r="I9" s="2395"/>
      <c r="J9" s="2382">
        <f>3.7854*K9/8</f>
        <v>0.47317500000000001</v>
      </c>
      <c r="K9" s="2593">
        <v>1</v>
      </c>
      <c r="L9" s="2382">
        <f>K9*(5/6)</f>
        <v>0.83333333333333337</v>
      </c>
      <c r="M9" s="2483"/>
      <c r="N9" s="251"/>
      <c r="O9" s="251"/>
      <c r="P9" s="266">
        <f>3.7854*R9/8</f>
        <v>0.56781000000000004</v>
      </c>
      <c r="Q9" s="261">
        <v>1</v>
      </c>
      <c r="R9" s="260">
        <f>Q9*(6/5)</f>
        <v>1.2</v>
      </c>
      <c r="S9" s="253"/>
      <c r="T9" s="253"/>
      <c r="U9" s="1704"/>
      <c r="V9" s="1704"/>
      <c r="W9" s="1704"/>
    </row>
    <row r="10" spans="1:23" ht="17.25" customHeight="1">
      <c r="A10" s="253"/>
      <c r="B10" s="253"/>
      <c r="C10" s="262"/>
      <c r="D10" s="2398"/>
      <c r="E10" s="2483"/>
      <c r="F10" s="2483"/>
      <c r="G10" s="2395"/>
      <c r="H10" s="250"/>
      <c r="I10" s="2395"/>
      <c r="J10" s="2398"/>
      <c r="K10" s="2398"/>
      <c r="L10" s="2398"/>
      <c r="M10" s="2483"/>
      <c r="N10" s="251"/>
      <c r="O10" s="251"/>
      <c r="P10" s="2398"/>
      <c r="Q10" s="2398"/>
      <c r="R10" s="2398"/>
      <c r="S10" s="253"/>
      <c r="T10" s="253"/>
      <c r="U10" s="1704"/>
      <c r="V10" s="1704"/>
      <c r="W10" s="1704"/>
    </row>
    <row r="11" spans="1:23" ht="17.25" customHeight="1">
      <c r="A11" s="253"/>
      <c r="B11" s="253"/>
      <c r="C11" s="257" t="s">
        <v>128</v>
      </c>
      <c r="D11" s="258" t="s">
        <v>141</v>
      </c>
      <c r="E11" s="258" t="s">
        <v>132</v>
      </c>
      <c r="F11" s="258" t="s">
        <v>295</v>
      </c>
      <c r="G11" s="2395"/>
      <c r="H11" s="250"/>
      <c r="I11" s="2395"/>
      <c r="J11" s="1514" t="s">
        <v>981</v>
      </c>
      <c r="K11" s="1515" t="s">
        <v>23</v>
      </c>
      <c r="L11" s="2492" t="s">
        <v>141</v>
      </c>
      <c r="M11" s="2492" t="s">
        <v>296</v>
      </c>
      <c r="N11" s="251"/>
      <c r="O11" s="251"/>
      <c r="P11" s="258" t="s">
        <v>141</v>
      </c>
      <c r="Q11" s="258" t="s">
        <v>132</v>
      </c>
      <c r="R11" s="258" t="s">
        <v>23</v>
      </c>
      <c r="S11" s="253"/>
      <c r="T11" s="253"/>
      <c r="U11" s="1704"/>
      <c r="V11" s="1704"/>
      <c r="W11" s="1704"/>
    </row>
    <row r="12" spans="1:23" ht="17.25" customHeight="1">
      <c r="A12" s="253"/>
      <c r="B12" s="2486"/>
      <c r="C12" s="265" t="s">
        <v>134</v>
      </c>
      <c r="D12" s="260">
        <f>1000*E12*0.4536</f>
        <v>453.6</v>
      </c>
      <c r="E12" s="261">
        <v>1</v>
      </c>
      <c r="F12" s="260">
        <f>E12/0.4536</f>
        <v>2.204585537918871</v>
      </c>
      <c r="G12" s="2395"/>
      <c r="H12" s="250"/>
      <c r="I12" s="2395"/>
      <c r="J12" s="2594">
        <v>1</v>
      </c>
      <c r="K12" s="2595">
        <v>4</v>
      </c>
      <c r="L12" s="2532">
        <f>1000*(J12+K12/16)*0.4536</f>
        <v>567</v>
      </c>
      <c r="M12" s="2322">
        <f>L12/1000</f>
        <v>0.56699999999999995</v>
      </c>
      <c r="N12" s="251"/>
      <c r="O12" s="251"/>
      <c r="P12" s="260">
        <f>Q12*28.3495</f>
        <v>793.78599999999994</v>
      </c>
      <c r="Q12" s="261">
        <v>28</v>
      </c>
      <c r="R12" s="266">
        <f>Q12/28.3495</f>
        <v>0.9876717402423324</v>
      </c>
      <c r="S12" s="253"/>
      <c r="T12" s="253"/>
      <c r="U12" s="1704"/>
      <c r="V12" s="1704"/>
      <c r="W12" s="1704"/>
    </row>
    <row r="13" spans="1:23" ht="17.25" customHeight="1">
      <c r="A13" s="2486"/>
      <c r="B13" s="2486"/>
      <c r="C13" s="265" t="s">
        <v>982</v>
      </c>
      <c r="D13" s="2483"/>
      <c r="E13" s="2398"/>
      <c r="F13" s="2398"/>
      <c r="G13" s="2395"/>
      <c r="H13" s="250"/>
      <c r="I13" s="2395"/>
      <c r="J13" s="2407"/>
      <c r="K13" s="2407"/>
      <c r="L13" s="2408"/>
      <c r="M13" s="2408"/>
      <c r="N13" s="2483"/>
      <c r="O13" s="251"/>
      <c r="P13" s="2483"/>
      <c r="Q13" s="2483"/>
      <c r="R13" s="2483"/>
      <c r="S13" s="253"/>
      <c r="T13" s="253"/>
      <c r="U13" s="1704"/>
      <c r="V13" s="1704"/>
      <c r="W13" s="1704"/>
    </row>
    <row r="14" spans="1:23" ht="17.25" customHeight="1">
      <c r="A14" s="2486"/>
      <c r="B14" s="2486"/>
      <c r="C14" s="267"/>
      <c r="D14" s="258" t="s">
        <v>296</v>
      </c>
      <c r="E14" s="258" t="s">
        <v>132</v>
      </c>
      <c r="F14" s="258" t="s">
        <v>295</v>
      </c>
      <c r="G14" s="2395"/>
      <c r="H14" s="250"/>
      <c r="I14" s="2395"/>
      <c r="J14" s="258" t="s">
        <v>133</v>
      </c>
      <c r="K14" s="2498" t="s">
        <v>23</v>
      </c>
      <c r="L14" s="2498" t="s">
        <v>981</v>
      </c>
      <c r="M14" s="2498" t="s">
        <v>1534</v>
      </c>
      <c r="N14" s="2483"/>
      <c r="O14" s="251"/>
      <c r="P14" s="258" t="s">
        <v>295</v>
      </c>
      <c r="Q14" s="378" t="s">
        <v>23</v>
      </c>
      <c r="R14" s="1008" t="s">
        <v>983</v>
      </c>
      <c r="S14" s="2486"/>
      <c r="T14" s="253"/>
      <c r="U14" s="1704"/>
      <c r="V14" s="1704"/>
      <c r="W14" s="1704"/>
    </row>
    <row r="15" spans="1:23" ht="17.25" customHeight="1">
      <c r="A15" s="2486"/>
      <c r="B15" s="2486"/>
      <c r="C15" s="2486"/>
      <c r="D15" s="260">
        <f>E15*0.4536</f>
        <v>10.4328</v>
      </c>
      <c r="E15" s="268">
        <v>23</v>
      </c>
      <c r="F15" s="269">
        <f>E15/0.4536</f>
        <v>50.705467372134038</v>
      </c>
      <c r="G15" s="2395"/>
      <c r="H15" s="250"/>
      <c r="I15" s="2395"/>
      <c r="J15" s="261">
        <v>1000</v>
      </c>
      <c r="K15" s="1517">
        <f>16*L15</f>
        <v>35.273368606701936</v>
      </c>
      <c r="L15" s="1517">
        <f>J15/(1000*0.4536)</f>
        <v>2.204585537918871</v>
      </c>
      <c r="M15" s="2498" t="str">
        <f>INT(K15/16)&amp;" lb. "&amp;FIXED(K15-16*INT(K15/16))</f>
        <v>2 lb. 3.27</v>
      </c>
      <c r="N15" s="2483"/>
      <c r="O15" s="251"/>
      <c r="P15" s="261">
        <v>2.2000000000000002</v>
      </c>
      <c r="Q15" s="1008">
        <f>P15*16</f>
        <v>35.200000000000003</v>
      </c>
      <c r="R15" s="1008" t="str">
        <f>INT(Q15/16)&amp;" lb. "&amp;FIXED(Q15-16*INT(Q15/16))</f>
        <v>2 lb. 3.20</v>
      </c>
      <c r="S15" s="253"/>
      <c r="T15" s="253"/>
      <c r="U15" s="1704"/>
      <c r="V15" s="1704"/>
      <c r="W15" s="1704"/>
    </row>
    <row r="16" spans="1:23" ht="17.25" customHeight="1">
      <c r="A16" s="2486"/>
      <c r="B16" s="2486"/>
      <c r="C16" s="270"/>
      <c r="D16" s="2398"/>
      <c r="E16" s="2398"/>
      <c r="F16" s="2398"/>
      <c r="G16" s="2395"/>
      <c r="H16" s="250"/>
      <c r="I16" s="2395"/>
      <c r="J16" s="2398"/>
      <c r="K16" s="2398"/>
      <c r="L16" s="2398"/>
      <c r="M16" s="2396"/>
      <c r="N16" s="2396"/>
      <c r="O16" s="381"/>
      <c r="P16" s="2398"/>
      <c r="Q16" s="2398"/>
      <c r="R16" s="2398"/>
      <c r="S16" s="253"/>
      <c r="T16" s="253"/>
      <c r="U16" s="1704"/>
      <c r="V16" s="1704"/>
      <c r="W16" s="1704"/>
    </row>
    <row r="17" spans="1:25" ht="17.25" customHeight="1">
      <c r="A17" s="2486"/>
      <c r="B17" s="2486"/>
      <c r="C17" s="2479" t="s">
        <v>984</v>
      </c>
      <c r="D17" s="2885" t="s">
        <v>985</v>
      </c>
      <c r="E17" s="2888" t="s">
        <v>986</v>
      </c>
      <c r="F17" s="2887" t="s">
        <v>1808</v>
      </c>
      <c r="G17" s="2890"/>
      <c r="H17" s="2894"/>
      <c r="I17" s="2890"/>
      <c r="J17" s="2887" t="s">
        <v>987</v>
      </c>
      <c r="K17" s="2887" t="s">
        <v>986</v>
      </c>
      <c r="L17" s="2887" t="s">
        <v>1809</v>
      </c>
      <c r="M17" s="2895"/>
      <c r="N17" s="2896"/>
      <c r="O17" s="2897"/>
      <c r="P17" s="2883" t="s">
        <v>149</v>
      </c>
      <c r="Q17" s="2883" t="s">
        <v>19</v>
      </c>
      <c r="R17" s="2883" t="s">
        <v>1811</v>
      </c>
      <c r="S17" s="264"/>
      <c r="T17" s="264"/>
      <c r="U17" s="2385"/>
      <c r="V17" s="2385"/>
      <c r="W17" s="2385"/>
    </row>
    <row r="18" spans="1:25" ht="17.25" customHeight="1">
      <c r="A18" s="2486"/>
      <c r="B18" s="2486"/>
      <c r="C18" s="264"/>
      <c r="D18" s="271">
        <f>E18*0.09977637</f>
        <v>9.9776370000000003E-2</v>
      </c>
      <c r="E18" s="268">
        <v>1</v>
      </c>
      <c r="F18" s="260">
        <f>E18*10.022413122466</f>
        <v>10.022413122466</v>
      </c>
      <c r="G18" s="2395"/>
      <c r="H18" s="272"/>
      <c r="I18" s="2395"/>
      <c r="J18" s="260">
        <f>K18/0.02004</f>
        <v>49.900199600798409</v>
      </c>
      <c r="K18" s="273">
        <v>1</v>
      </c>
      <c r="L18" s="266">
        <f>K18*0.02004</f>
        <v>2.0039999999999999E-2</v>
      </c>
      <c r="M18" s="2396"/>
      <c r="N18" s="2397"/>
      <c r="O18" s="381"/>
      <c r="P18" s="2480">
        <f>Q18*28.41306</f>
        <v>340.95672000000002</v>
      </c>
      <c r="Q18" s="261">
        <v>12</v>
      </c>
      <c r="R18" s="271">
        <f>Q18/28.41306</f>
        <v>0.42234099389506091</v>
      </c>
      <c r="S18" s="264"/>
      <c r="T18" s="264"/>
      <c r="U18" s="2385"/>
      <c r="V18" s="2385"/>
      <c r="W18" s="2385"/>
    </row>
    <row r="19" spans="1:25" ht="17.25" customHeight="1">
      <c r="A19" s="2486"/>
      <c r="B19" s="2486"/>
      <c r="C19" s="263"/>
      <c r="D19" s="2399"/>
      <c r="E19" s="2399"/>
      <c r="F19" s="2399"/>
      <c r="G19" s="2395"/>
      <c r="H19" s="250"/>
      <c r="I19" s="2395"/>
      <c r="J19" s="2399"/>
      <c r="K19" s="2399"/>
      <c r="L19" s="2400"/>
      <c r="M19" s="2396"/>
      <c r="N19" s="2401"/>
      <c r="O19" s="381"/>
      <c r="P19" s="2483"/>
      <c r="Q19" s="2483"/>
      <c r="R19" s="2483"/>
      <c r="S19" s="264"/>
      <c r="T19" s="264"/>
      <c r="U19" s="2385"/>
      <c r="V19" s="2385"/>
      <c r="W19" s="2385"/>
    </row>
    <row r="20" spans="1:25" ht="17.25" customHeight="1">
      <c r="A20" s="2486"/>
      <c r="B20" s="2486"/>
      <c r="C20" s="263"/>
      <c r="D20" s="2888" t="s">
        <v>985</v>
      </c>
      <c r="E20" s="2888" t="s">
        <v>986</v>
      </c>
      <c r="F20" s="2885" t="s">
        <v>1814</v>
      </c>
      <c r="G20" s="2890"/>
      <c r="H20" s="2898"/>
      <c r="I20" s="2890"/>
      <c r="J20" s="2887" t="s">
        <v>987</v>
      </c>
      <c r="K20" s="2887" t="s">
        <v>986</v>
      </c>
      <c r="L20" s="2885" t="s">
        <v>1810</v>
      </c>
      <c r="M20" s="2895"/>
      <c r="N20" s="2895"/>
      <c r="O20" s="2897"/>
      <c r="P20" s="2883" t="s">
        <v>149</v>
      </c>
      <c r="Q20" s="2883" t="s">
        <v>19</v>
      </c>
      <c r="R20" s="2883" t="s">
        <v>1812</v>
      </c>
      <c r="S20" s="264"/>
      <c r="T20" s="264"/>
      <c r="U20" s="2385"/>
      <c r="V20" s="2385"/>
      <c r="W20" s="2385"/>
    </row>
    <row r="21" spans="1:25" ht="17.25" customHeight="1">
      <c r="A21" s="2486"/>
      <c r="B21" s="253"/>
      <c r="C21" s="2387"/>
      <c r="D21" s="266">
        <f>E21*0.1198264</f>
        <v>0.1198264</v>
      </c>
      <c r="E21" s="273">
        <v>1</v>
      </c>
      <c r="F21" s="2480">
        <f>E21*8.3454063545262</f>
        <v>8.3454063545261992</v>
      </c>
      <c r="G21" s="2395"/>
      <c r="H21" s="250"/>
      <c r="I21" s="2395"/>
      <c r="J21" s="260">
        <f>K21/0.016691</f>
        <v>59.912527709544065</v>
      </c>
      <c r="K21" s="273">
        <v>1</v>
      </c>
      <c r="L21" s="266">
        <f>K21*0.016691</f>
        <v>1.6691000000000001E-2</v>
      </c>
      <c r="M21" s="2396"/>
      <c r="N21" s="2402"/>
      <c r="O21" s="381"/>
      <c r="P21" s="2480">
        <f>Q21*29.57353</f>
        <v>29.573530000000002</v>
      </c>
      <c r="Q21" s="261">
        <v>1</v>
      </c>
      <c r="R21" s="271">
        <f>Q21/29.57353</f>
        <v>3.3814022201610693E-2</v>
      </c>
      <c r="S21" s="264"/>
      <c r="T21" s="264"/>
      <c r="U21" s="2385"/>
      <c r="V21" s="2385"/>
      <c r="W21" s="2385"/>
    </row>
    <row r="22" spans="1:25" ht="17.25" customHeight="1">
      <c r="A22" s="2486"/>
      <c r="B22" s="253"/>
      <c r="C22" s="2383"/>
      <c r="D22" s="2396"/>
      <c r="E22" s="2396"/>
      <c r="F22" s="2396"/>
      <c r="G22" s="2395"/>
      <c r="H22" s="250"/>
      <c r="I22" s="2395"/>
      <c r="J22" s="2403"/>
      <c r="K22" s="2403"/>
      <c r="L22" s="2403"/>
      <c r="M22" s="2404"/>
      <c r="N22" s="2396"/>
      <c r="O22" s="381"/>
      <c r="P22" s="2398"/>
      <c r="Q22" s="2398"/>
      <c r="R22" s="2398"/>
      <c r="S22" s="264"/>
      <c r="T22" s="264"/>
      <c r="U22" s="2385"/>
      <c r="V22" s="2385"/>
      <c r="W22" s="2385"/>
      <c r="Y22" s="2886"/>
    </row>
    <row r="23" spans="1:25" ht="17.25" customHeight="1">
      <c r="A23" s="2486"/>
      <c r="B23" s="253"/>
      <c r="C23" s="2390"/>
      <c r="D23" s="2395"/>
      <c r="E23" s="2395"/>
      <c r="F23" s="2395"/>
      <c r="G23" s="2395"/>
      <c r="H23" s="250"/>
      <c r="I23" s="2395"/>
      <c r="J23" s="2403"/>
      <c r="K23" s="2403"/>
      <c r="L23" s="2403"/>
      <c r="M23" s="2404"/>
      <c r="N23" s="2396"/>
      <c r="O23" s="381"/>
      <c r="P23" s="2884" t="s">
        <v>1813</v>
      </c>
      <c r="Q23" s="2884" t="s">
        <v>15</v>
      </c>
      <c r="R23" s="2899" t="s">
        <v>1812</v>
      </c>
      <c r="S23" s="264"/>
      <c r="T23" s="264"/>
      <c r="U23" s="2385"/>
      <c r="V23" s="2385"/>
      <c r="W23" s="2385"/>
      <c r="Y23" s="2886"/>
    </row>
    <row r="24" spans="1:25" ht="17.25" customHeight="1">
      <c r="A24" s="2486"/>
      <c r="B24" s="2484"/>
      <c r="C24" s="2387"/>
      <c r="D24" s="1868"/>
      <c r="E24" s="2998" t="s">
        <v>249</v>
      </c>
      <c r="F24" s="2998"/>
      <c r="G24" s="2998"/>
      <c r="H24" s="2998"/>
      <c r="I24" s="2998"/>
      <c r="J24" s="2388"/>
      <c r="K24" s="2388"/>
      <c r="L24" s="2388"/>
      <c r="M24" s="2389"/>
      <c r="N24" s="2383"/>
      <c r="O24" s="2390"/>
      <c r="P24" s="1963">
        <f>Q24/0.96076</f>
        <v>12.490111994670887</v>
      </c>
      <c r="Q24" s="268">
        <v>12</v>
      </c>
      <c r="R24" s="278">
        <f>Q24*0.96076</f>
        <v>11.529119999999999</v>
      </c>
      <c r="S24" s="2391"/>
      <c r="T24" s="264"/>
      <c r="U24" s="2385"/>
      <c r="V24" s="2385"/>
      <c r="W24" s="2385"/>
      <c r="Y24" s="2886"/>
    </row>
    <row r="25" spans="1:25" ht="17.25" customHeight="1">
      <c r="A25" s="2486"/>
      <c r="B25" s="2486"/>
      <c r="C25" s="2387"/>
      <c r="D25" s="263"/>
      <c r="E25" s="263"/>
      <c r="F25" s="263"/>
      <c r="G25" s="263"/>
      <c r="H25" s="263"/>
      <c r="I25" s="263"/>
      <c r="J25" s="263"/>
      <c r="K25" s="263"/>
      <c r="L25" s="263"/>
      <c r="M25" s="2387"/>
      <c r="N25" s="2387"/>
      <c r="O25" s="2387"/>
      <c r="P25" s="263"/>
      <c r="Q25" s="263"/>
      <c r="R25" s="263"/>
      <c r="S25" s="2391"/>
      <c r="T25" s="264"/>
      <c r="U25" s="2385"/>
      <c r="V25" s="2385"/>
      <c r="W25" s="2385"/>
      <c r="Y25" s="2886"/>
    </row>
    <row r="26" spans="1:25" ht="17.25" customHeight="1">
      <c r="A26" s="2486"/>
      <c r="B26" s="270"/>
      <c r="C26" s="2999" t="s">
        <v>988</v>
      </c>
      <c r="D26" s="2999"/>
      <c r="E26" s="379"/>
      <c r="F26" s="379"/>
      <c r="G26" s="313"/>
      <c r="H26" s="2386"/>
      <c r="I26" s="313"/>
      <c r="J26" s="2392"/>
      <c r="K26" s="2392"/>
      <c r="L26" s="2392"/>
      <c r="M26" s="2393"/>
      <c r="N26" s="2383"/>
      <c r="O26" s="2384"/>
      <c r="P26" s="263"/>
      <c r="Q26" s="263"/>
      <c r="R26" s="263"/>
      <c r="S26" s="2391"/>
      <c r="T26" s="264"/>
      <c r="U26" s="2385"/>
      <c r="V26" s="2385"/>
      <c r="W26" s="2385"/>
      <c r="Y26" s="2886"/>
    </row>
    <row r="27" spans="1:25" ht="17.25" customHeight="1">
      <c r="A27" s="2486"/>
      <c r="B27" s="279"/>
      <c r="C27" s="2394"/>
      <c r="D27" s="280" t="s">
        <v>164</v>
      </c>
      <c r="E27" s="281" t="s">
        <v>989</v>
      </c>
      <c r="F27" s="282" t="s">
        <v>165</v>
      </c>
      <c r="G27" s="281" t="s">
        <v>990</v>
      </c>
      <c r="H27" s="2483"/>
      <c r="I27" s="2395"/>
      <c r="J27" s="280" t="s">
        <v>989</v>
      </c>
      <c r="K27" s="281" t="s">
        <v>164</v>
      </c>
      <c r="L27" s="280" t="s">
        <v>990</v>
      </c>
      <c r="M27" s="384" t="s">
        <v>165</v>
      </c>
      <c r="N27" s="2396"/>
      <c r="O27" s="2384"/>
      <c r="P27" s="263"/>
      <c r="Q27" s="263"/>
      <c r="R27" s="263"/>
      <c r="S27" s="2391"/>
      <c r="T27" s="264"/>
      <c r="U27" s="2385"/>
      <c r="V27" s="2385"/>
      <c r="W27" s="2385"/>
      <c r="Y27" s="2886"/>
    </row>
    <row r="28" spans="1:25" ht="17.25" customHeight="1">
      <c r="A28" s="2486"/>
      <c r="B28" s="248"/>
      <c r="C28" s="2394"/>
      <c r="D28" s="2229">
        <v>5</v>
      </c>
      <c r="E28" s="2230">
        <v>1.6</v>
      </c>
      <c r="F28" s="2231">
        <v>6</v>
      </c>
      <c r="G28" s="283">
        <f>E28*F28/D28</f>
        <v>1.9200000000000004</v>
      </c>
      <c r="H28" s="2403"/>
      <c r="I28" s="2403"/>
      <c r="J28" s="2229">
        <v>6</v>
      </c>
      <c r="K28" s="2230">
        <v>5</v>
      </c>
      <c r="L28" s="2229">
        <v>1.9</v>
      </c>
      <c r="M28" s="385">
        <f>K28*L28/J28</f>
        <v>1.5833333333333333</v>
      </c>
      <c r="N28" s="2396"/>
      <c r="O28" s="2384"/>
      <c r="P28" s="264"/>
      <c r="Q28" s="264"/>
      <c r="R28" s="264"/>
      <c r="S28" s="264"/>
      <c r="T28" s="264"/>
      <c r="U28" s="2385"/>
      <c r="V28" s="2385"/>
      <c r="W28" s="2385"/>
    </row>
    <row r="29" spans="1:25" ht="17.25" customHeight="1">
      <c r="A29" s="2486"/>
      <c r="B29" s="248"/>
      <c r="C29" s="2394"/>
      <c r="D29" s="2405"/>
      <c r="E29" s="2405"/>
      <c r="F29" s="2405"/>
      <c r="G29" s="2405"/>
      <c r="H29" s="2405"/>
      <c r="I29" s="2405"/>
      <c r="J29" s="2405"/>
      <c r="K29" s="2405"/>
      <c r="L29" s="2405"/>
      <c r="M29" s="2405"/>
      <c r="N29" s="2405"/>
      <c r="O29" s="2384"/>
      <c r="P29" s="2394"/>
      <c r="Q29" s="2394"/>
      <c r="R29" s="264"/>
      <c r="S29" s="264"/>
      <c r="T29" s="264"/>
      <c r="U29" s="2385"/>
      <c r="V29" s="2385"/>
      <c r="W29" s="2385"/>
    </row>
    <row r="30" spans="1:25" ht="17.25" customHeight="1">
      <c r="A30" s="2486"/>
      <c r="B30" s="248"/>
      <c r="C30" s="1000" t="s">
        <v>993</v>
      </c>
      <c r="D30" s="3013" t="s">
        <v>1604</v>
      </c>
      <c r="E30" s="3014"/>
      <c r="F30" s="2232">
        <v>992</v>
      </c>
      <c r="G30" s="3008" t="s">
        <v>1161</v>
      </c>
      <c r="H30" s="3009"/>
      <c r="I30" s="2232">
        <v>5</v>
      </c>
      <c r="J30" s="3010" t="str">
        <f>"litres/etc is eqiuvalent to "&amp;FIXED((1+(F30-1000)/1000*I30/M30),4)*1000&amp;" for"</f>
        <v>litres/etc is eqiuvalent to 993.3 for</v>
      </c>
      <c r="K30" s="3011"/>
      <c r="L30" s="3012"/>
      <c r="M30" s="2232">
        <v>6</v>
      </c>
      <c r="N30" s="2406" t="s">
        <v>1815</v>
      </c>
      <c r="O30" s="2384"/>
      <c r="P30" s="2394"/>
      <c r="Q30" s="2394"/>
      <c r="R30" s="264"/>
      <c r="S30" s="264"/>
      <c r="T30" s="264"/>
      <c r="U30" s="2385"/>
      <c r="V30" s="2385"/>
      <c r="W30" s="2385"/>
    </row>
    <row r="31" spans="1:25" ht="17.25" customHeight="1">
      <c r="A31" s="2486"/>
      <c r="B31" s="2486"/>
      <c r="C31" s="264"/>
      <c r="D31" s="264"/>
      <c r="E31" s="263"/>
      <c r="F31" s="263"/>
      <c r="G31" s="2296"/>
      <c r="H31" s="2388"/>
      <c r="I31" s="2388"/>
      <c r="J31" s="264"/>
      <c r="K31" s="264"/>
      <c r="L31" s="264"/>
      <c r="M31" s="264"/>
      <c r="N31" s="264"/>
      <c r="O31" s="2384"/>
      <c r="P31" s="264"/>
      <c r="Q31" s="264"/>
      <c r="R31" s="264"/>
      <c r="S31" s="264"/>
      <c r="T31" s="264"/>
      <c r="U31" s="2385"/>
      <c r="V31" s="2385"/>
      <c r="W31" s="2385"/>
    </row>
    <row r="32" spans="1:25" ht="17.25" customHeight="1">
      <c r="A32" s="2486"/>
      <c r="B32" s="2486"/>
      <c r="C32" s="253"/>
      <c r="D32" s="264"/>
      <c r="E32" s="263"/>
      <c r="F32" s="263"/>
      <c r="G32" s="1511"/>
      <c r="H32" s="155"/>
      <c r="I32" s="155"/>
      <c r="J32" s="253"/>
      <c r="K32" s="253"/>
      <c r="L32" s="253"/>
      <c r="M32" s="253"/>
      <c r="N32" s="253"/>
      <c r="O32" s="251"/>
      <c r="P32" s="253"/>
      <c r="Q32" s="253"/>
      <c r="R32" s="253"/>
      <c r="S32" s="253"/>
      <c r="T32" s="253"/>
      <c r="U32" s="1704"/>
      <c r="V32" s="1704"/>
      <c r="W32" s="1704"/>
    </row>
    <row r="33" spans="1:23" ht="17.25" customHeight="1">
      <c r="A33" s="253"/>
      <c r="B33" s="3002" t="s">
        <v>1471</v>
      </c>
      <c r="C33" s="3002"/>
      <c r="D33" s="3002"/>
      <c r="E33" s="3002"/>
      <c r="F33" s="3002"/>
      <c r="G33" s="3002"/>
      <c r="H33" s="3002"/>
      <c r="I33" s="3002"/>
      <c r="J33" s="3002"/>
      <c r="K33" s="3002"/>
      <c r="L33" s="3002"/>
      <c r="M33" s="3002"/>
      <c r="N33" s="3002"/>
      <c r="O33" s="968"/>
      <c r="P33" s="971"/>
      <c r="Q33" s="968"/>
      <c r="R33" s="253"/>
      <c r="S33" s="253"/>
      <c r="T33" s="253"/>
      <c r="U33" s="1703"/>
      <c r="V33" s="1703"/>
      <c r="W33" s="1703"/>
    </row>
    <row r="34" spans="1:23" ht="17.25" customHeight="1">
      <c r="A34" s="2486"/>
      <c r="B34" s="3015"/>
      <c r="C34" s="3015"/>
      <c r="D34" s="3003" t="s">
        <v>1460</v>
      </c>
      <c r="E34" s="3003"/>
      <c r="F34" s="3003"/>
      <c r="G34" s="968"/>
      <c r="H34" s="972"/>
      <c r="I34" s="972"/>
      <c r="J34" s="972"/>
      <c r="K34" s="969" t="s">
        <v>1458</v>
      </c>
      <c r="L34" s="3004" t="s">
        <v>1461</v>
      </c>
      <c r="M34" s="3005"/>
      <c r="N34" s="970" t="s">
        <v>1459</v>
      </c>
      <c r="O34" s="973"/>
      <c r="P34" s="974"/>
      <c r="Q34" s="974"/>
      <c r="R34" s="253"/>
      <c r="S34" s="1233"/>
      <c r="T34" s="253"/>
      <c r="U34" s="1703"/>
      <c r="V34" s="1703"/>
      <c r="W34" s="1703"/>
    </row>
    <row r="35" spans="1:23" ht="17.25" customHeight="1">
      <c r="A35" s="2486"/>
      <c r="B35" s="931"/>
      <c r="C35" s="931"/>
      <c r="D35" s="3067" t="s">
        <v>323</v>
      </c>
      <c r="E35" s="3068"/>
      <c r="F35" s="975">
        <v>1079</v>
      </c>
      <c r="G35" s="3105" t="s">
        <v>1463</v>
      </c>
      <c r="H35" s="3106"/>
      <c r="I35" s="3106"/>
      <c r="J35" s="972"/>
      <c r="K35" s="976">
        <v>20</v>
      </c>
      <c r="L35" s="3006" t="s">
        <v>991</v>
      </c>
      <c r="M35" s="3007"/>
      <c r="N35" s="977">
        <v>68</v>
      </c>
      <c r="O35" s="3016" t="s">
        <v>1523</v>
      </c>
      <c r="P35" s="3017"/>
      <c r="Q35" s="3017"/>
      <c r="R35" s="3017"/>
      <c r="S35" s="253"/>
      <c r="T35" s="253"/>
      <c r="U35" s="1703"/>
      <c r="V35" s="1703"/>
      <c r="W35" s="1703"/>
    </row>
    <row r="36" spans="1:23" ht="17.25" customHeight="1">
      <c r="A36" s="2486"/>
      <c r="B36" s="931"/>
      <c r="C36" s="931"/>
      <c r="D36" s="3097" t="s">
        <v>324</v>
      </c>
      <c r="E36" s="3098"/>
      <c r="F36" s="978">
        <v>993</v>
      </c>
      <c r="G36" s="3105"/>
      <c r="H36" s="3106"/>
      <c r="I36" s="3106"/>
      <c r="J36" s="972"/>
      <c r="K36" s="979">
        <v>20</v>
      </c>
      <c r="L36" s="3018" t="s">
        <v>713</v>
      </c>
      <c r="M36" s="3019"/>
      <c r="N36" s="980">
        <v>68</v>
      </c>
      <c r="O36" s="3016"/>
      <c r="P36" s="3017"/>
      <c r="Q36" s="3017"/>
      <c r="R36" s="3017"/>
      <c r="S36" s="253"/>
      <c r="T36" s="253"/>
      <c r="U36" s="1703"/>
      <c r="V36" s="1703"/>
      <c r="W36" s="1703"/>
    </row>
    <row r="37" spans="1:23" ht="17.25" customHeight="1">
      <c r="A37" s="2486"/>
      <c r="B37" s="931"/>
      <c r="C37" s="981"/>
      <c r="D37" s="3099" t="s">
        <v>151</v>
      </c>
      <c r="E37" s="3100"/>
      <c r="F37" s="982">
        <f>(F35-F36)/(7.75-3*(F35-1000)/800)</f>
        <v>11.537816535301022</v>
      </c>
      <c r="G37" s="1869"/>
      <c r="H37" s="1870"/>
      <c r="I37" s="1870"/>
      <c r="J37" s="983"/>
      <c r="K37" s="984">
        <v>1040</v>
      </c>
      <c r="L37" s="3020" t="s">
        <v>1462</v>
      </c>
      <c r="M37" s="3021"/>
      <c r="N37" s="985">
        <v>1040</v>
      </c>
      <c r="O37" s="3016"/>
      <c r="P37" s="3017"/>
      <c r="Q37" s="3017"/>
      <c r="R37" s="3017"/>
      <c r="S37" s="253"/>
      <c r="T37" s="253"/>
      <c r="U37" s="1703"/>
      <c r="V37" s="1703"/>
      <c r="W37" s="1703"/>
    </row>
    <row r="38" spans="1:23" ht="17.25" customHeight="1" thickBot="1">
      <c r="A38" s="2486"/>
      <c r="B38" s="931"/>
      <c r="C38" s="931"/>
      <c r="D38" s="931"/>
      <c r="E38" s="931"/>
      <c r="F38" s="931"/>
      <c r="G38" s="931"/>
      <c r="H38" s="986"/>
      <c r="I38" s="986"/>
      <c r="J38" s="986"/>
      <c r="K38" s="987">
        <f>1*FIXED(K37*((1.00130346-0.000134722124*(((K36+40)*9/5)-40)+0.00000204052596*(((K36+40)*9/5)-40)^2-0.00000000232820948*(((K36+40)*9/5)-40)^3)/(1.00130346-0.000134722124*(((K35+40)*9/5)-40)+0.00000204052596*(((K35+40)*9/5)-40)^2-0.00000000232820948*(((K35+40)*9/5)-40)^3)),1)</f>
        <v>1040</v>
      </c>
      <c r="L38" s="3022" t="s">
        <v>1464</v>
      </c>
      <c r="M38" s="3023"/>
      <c r="N38" s="988">
        <f>1*FIXED(N37*((1.00130346-0.000134722124*N36+0.00000204052596*N36^2-0.00000000232820948*N36^3)/(1.00130346-0.000134722124*N35+0.00000204052596*N35^2-0.00000000232820948*N35^3)),1)</f>
        <v>1040</v>
      </c>
      <c r="O38" s="1320"/>
      <c r="P38" s="1321"/>
      <c r="Q38" s="1321"/>
      <c r="R38" s="1321"/>
      <c r="S38" s="253"/>
      <c r="T38" s="253"/>
      <c r="U38" s="1703"/>
      <c r="V38" s="1703"/>
      <c r="W38" s="1703"/>
    </row>
    <row r="39" spans="1:23" ht="17.25" customHeight="1" thickTop="1">
      <c r="A39" s="2486"/>
      <c r="B39" s="931"/>
      <c r="C39" s="1225" t="s">
        <v>167</v>
      </c>
      <c r="D39" s="3094" t="s">
        <v>1516</v>
      </c>
      <c r="E39" s="3094"/>
      <c r="F39" s="3094"/>
      <c r="G39" s="3094"/>
      <c r="H39" s="3094"/>
      <c r="I39" s="990"/>
      <c r="J39" s="972"/>
      <c r="K39" s="969" t="s">
        <v>1458</v>
      </c>
      <c r="L39" s="3024" t="s">
        <v>324</v>
      </c>
      <c r="M39" s="3025"/>
      <c r="N39" s="970" t="s">
        <v>1459</v>
      </c>
      <c r="O39" s="1320"/>
      <c r="P39" s="1321"/>
      <c r="Q39" s="968"/>
      <c r="R39" s="253"/>
      <c r="S39" s="253"/>
      <c r="T39" s="253"/>
      <c r="U39" s="1703"/>
      <c r="V39" s="1703"/>
      <c r="W39" s="1703"/>
    </row>
    <row r="40" spans="1:23" ht="17.25" customHeight="1">
      <c r="A40" s="2486"/>
      <c r="B40" s="931"/>
      <c r="C40" s="1226"/>
      <c r="D40" s="3095" t="s">
        <v>323</v>
      </c>
      <c r="E40" s="3096"/>
      <c r="F40" s="975">
        <v>79</v>
      </c>
      <c r="G40" s="3103" t="s">
        <v>1513</v>
      </c>
      <c r="H40" s="3104"/>
      <c r="I40" s="3104"/>
      <c r="J40" s="991"/>
      <c r="K40" s="976">
        <f>K35</f>
        <v>20</v>
      </c>
      <c r="L40" s="3006" t="s">
        <v>1465</v>
      </c>
      <c r="M40" s="3007"/>
      <c r="N40" s="977">
        <f>N35</f>
        <v>68</v>
      </c>
      <c r="O40" s="1320"/>
      <c r="P40" s="1321"/>
      <c r="Q40" s="968"/>
      <c r="R40" s="253"/>
      <c r="S40" s="253"/>
      <c r="T40" s="253"/>
      <c r="U40" s="1703"/>
      <c r="V40" s="1703"/>
      <c r="W40" s="1703"/>
    </row>
    <row r="41" spans="1:23" ht="17.25" customHeight="1">
      <c r="A41" s="2486"/>
      <c r="B41" s="931"/>
      <c r="C41" s="1223"/>
      <c r="D41" s="3097" t="s">
        <v>324</v>
      </c>
      <c r="E41" s="3098"/>
      <c r="F41" s="992">
        <v>-7</v>
      </c>
      <c r="G41" s="3103"/>
      <c r="H41" s="3104"/>
      <c r="I41" s="3104"/>
      <c r="J41" s="991"/>
      <c r="K41" s="979">
        <v>20</v>
      </c>
      <c r="L41" s="3018" t="s">
        <v>713</v>
      </c>
      <c r="M41" s="3019"/>
      <c r="N41" s="980">
        <v>70</v>
      </c>
      <c r="O41" s="1320"/>
      <c r="P41" s="1321"/>
      <c r="Q41" s="968"/>
      <c r="R41" s="253"/>
      <c r="S41" s="253"/>
      <c r="T41" s="253"/>
      <c r="U41" s="1703"/>
      <c r="V41" s="1703"/>
      <c r="W41" s="1703"/>
    </row>
    <row r="42" spans="1:23" ht="17.25" customHeight="1">
      <c r="A42" s="2486"/>
      <c r="B42" s="931"/>
      <c r="C42" s="931"/>
      <c r="D42" s="3101" t="s">
        <v>151</v>
      </c>
      <c r="E42" s="3102"/>
      <c r="F42" s="994">
        <f>(F40-F41)/(7.75-3*F40/800)</f>
        <v>11.537816535301022</v>
      </c>
      <c r="G42" s="3103"/>
      <c r="H42" s="3104"/>
      <c r="I42" s="3104"/>
      <c r="J42" s="991"/>
      <c r="K42" s="984">
        <v>1010</v>
      </c>
      <c r="L42" s="3020" t="s">
        <v>1466</v>
      </c>
      <c r="M42" s="3021"/>
      <c r="N42" s="985">
        <v>1010</v>
      </c>
      <c r="O42" s="1320"/>
      <c r="P42" s="2993" t="s">
        <v>914</v>
      </c>
      <c r="Q42" s="2993"/>
      <c r="R42" s="2993"/>
      <c r="S42" s="253"/>
      <c r="T42" s="253"/>
      <c r="U42" s="1703"/>
      <c r="V42" s="1703"/>
      <c r="W42" s="1703"/>
    </row>
    <row r="43" spans="1:23" ht="17.25" customHeight="1" thickBot="1">
      <c r="A43" s="2486"/>
      <c r="B43" s="931"/>
      <c r="C43" s="931"/>
      <c r="D43" s="931"/>
      <c r="E43" s="931"/>
      <c r="F43" s="931"/>
      <c r="G43" s="1232"/>
      <c r="H43" s="1232"/>
      <c r="I43" s="1232"/>
      <c r="J43" s="968"/>
      <c r="K43" s="987">
        <f>1*FIXED(K42*((1.00130346-0.000134722124*(((K41+40)*9/5)-40)+0.00000204052596*(((K41+40)*9/5)-40)^2-0.00000000232820948*(((K41+40)*9/5)-40)^3)/(1.00130346-0.000134722124*(((K40+40)*9/5)-40)+0.00000204052596*(((K40+40)*9/5)-40)^2-0.00000000232820948*(((K40+40)*9/5)-40)^3)),1)</f>
        <v>1010</v>
      </c>
      <c r="L43" s="3022" t="s">
        <v>1467</v>
      </c>
      <c r="M43" s="3023"/>
      <c r="N43" s="993">
        <f>1*FIXED(N42*((1.00130346-0.000134722124*N41+0.00000204052596*N41^2-0.00000000232820948*N41^3)/(1.00130346-0.000134722124*N40+0.00000204052596*N40^2-0.00000000232820948*N40^3)),1)</f>
        <v>1010.2</v>
      </c>
      <c r="O43" s="989"/>
      <c r="P43" s="275" t="s">
        <v>1600</v>
      </c>
      <c r="Q43" s="275" t="s">
        <v>176</v>
      </c>
      <c r="R43" s="1008" t="s">
        <v>1599</v>
      </c>
      <c r="S43" s="253"/>
      <c r="T43" s="253"/>
      <c r="U43" s="1703"/>
      <c r="V43" s="1703"/>
      <c r="W43" s="1703"/>
    </row>
    <row r="44" spans="1:23" ht="17.25" customHeight="1" thickTop="1">
      <c r="A44" s="2486"/>
      <c r="B44" s="931"/>
      <c r="C44" s="931"/>
      <c r="D44" s="931"/>
      <c r="E44" s="931"/>
      <c r="F44" s="931"/>
      <c r="G44" s="1224"/>
      <c r="H44" s="1224"/>
      <c r="I44" s="1224"/>
      <c r="J44" s="968"/>
      <c r="K44" s="995" t="str">
        <f>FIXED((K38-K43)/(7.7537-3*(K38-1000)/800),2)&amp;"%"</f>
        <v>3.95%</v>
      </c>
      <c r="L44" s="3092" t="s">
        <v>992</v>
      </c>
      <c r="M44" s="3093"/>
      <c r="N44" s="996" t="str">
        <f>FIXED((N38-N43)/(7.7537-3*(N38-1000)/800),2)&amp;"%"</f>
        <v>3.92%</v>
      </c>
      <c r="O44" s="989"/>
      <c r="P44" s="277">
        <f>((Q44+40)*5/9)-40</f>
        <v>-6.6666666666666643</v>
      </c>
      <c r="Q44" s="1346">
        <v>20</v>
      </c>
      <c r="R44" s="275">
        <f>((Q44+40)*9/5)-40</f>
        <v>68</v>
      </c>
      <c r="S44" s="253"/>
      <c r="T44" s="253"/>
      <c r="U44" s="1703"/>
      <c r="V44" s="1703"/>
      <c r="W44" s="1703"/>
    </row>
    <row r="45" spans="1:23" ht="17.25" customHeight="1">
      <c r="A45" s="2486"/>
      <c r="B45" s="968"/>
      <c r="C45" s="968"/>
      <c r="D45" s="968"/>
      <c r="E45" s="968"/>
      <c r="F45" s="968"/>
      <c r="G45" s="1224"/>
      <c r="H45" s="1224"/>
      <c r="I45" s="1224"/>
      <c r="J45" s="968"/>
      <c r="K45" s="997"/>
      <c r="L45" s="968"/>
      <c r="M45" s="968"/>
      <c r="N45" s="968"/>
      <c r="O45" s="968"/>
      <c r="P45" s="968"/>
      <c r="Q45" s="968"/>
      <c r="R45" s="253"/>
      <c r="S45" s="253"/>
      <c r="T45" s="253"/>
      <c r="U45" s="1703"/>
      <c r="V45" s="1703"/>
      <c r="W45" s="1703"/>
    </row>
    <row r="46" spans="1:23" ht="17.25" customHeight="1">
      <c r="A46" s="968"/>
      <c r="B46" s="968"/>
      <c r="C46" s="1001"/>
      <c r="D46" s="967"/>
      <c r="E46" s="967"/>
      <c r="F46" s="967"/>
      <c r="G46" s="967"/>
      <c r="H46" s="967"/>
      <c r="I46" s="967"/>
      <c r="J46" s="967"/>
      <c r="K46" s="968"/>
      <c r="L46" s="968"/>
      <c r="M46" s="968"/>
      <c r="N46" s="968"/>
      <c r="O46" s="968"/>
      <c r="P46" s="968"/>
      <c r="Q46" s="968"/>
      <c r="R46" s="1253"/>
      <c r="S46" s="253"/>
      <c r="T46" s="253"/>
      <c r="U46" s="1703"/>
      <c r="V46" s="1703"/>
      <c r="W46" s="1703"/>
    </row>
    <row r="47" spans="1:23" ht="17.25" customHeight="1">
      <c r="A47" s="2486"/>
      <c r="B47" s="249"/>
      <c r="C47" s="999" t="s">
        <v>1468</v>
      </c>
      <c r="D47" s="3117" t="s">
        <v>1469</v>
      </c>
      <c r="E47" s="3118"/>
      <c r="F47" s="3119"/>
      <c r="G47" s="2226">
        <v>1079</v>
      </c>
      <c r="H47" s="3120" t="s">
        <v>1470</v>
      </c>
      <c r="I47" s="3121"/>
      <c r="J47" s="3121"/>
      <c r="K47" s="3121"/>
      <c r="L47" s="3121"/>
      <c r="M47" s="3121"/>
      <c r="N47" s="3121"/>
      <c r="O47" s="288"/>
      <c r="P47" s="288"/>
      <c r="Q47" s="968"/>
      <c r="R47" s="253"/>
      <c r="S47" s="253"/>
      <c r="T47" s="253"/>
      <c r="U47" s="1704"/>
      <c r="V47" s="1704"/>
      <c r="W47" s="1704"/>
    </row>
    <row r="48" spans="1:23" ht="17.25" customHeight="1">
      <c r="A48" s="253"/>
      <c r="B48" s="594"/>
      <c r="C48" s="594"/>
      <c r="D48" s="3089" t="s">
        <v>1494</v>
      </c>
      <c r="E48" s="3090"/>
      <c r="F48" s="3091"/>
      <c r="G48" s="2227">
        <v>21</v>
      </c>
      <c r="H48" s="3120"/>
      <c r="I48" s="3121"/>
      <c r="J48" s="3121"/>
      <c r="K48" s="3121"/>
      <c r="L48" s="3121"/>
      <c r="M48" s="3121"/>
      <c r="N48" s="3121"/>
      <c r="O48" s="555"/>
      <c r="P48" s="555"/>
      <c r="Q48" s="555"/>
      <c r="R48" s="555"/>
      <c r="S48" s="380"/>
      <c r="T48" s="285"/>
      <c r="U48" s="1704"/>
      <c r="V48" s="1704"/>
      <c r="W48" s="1704"/>
    </row>
    <row r="49" spans="1:23" ht="17.25" customHeight="1">
      <c r="A49" s="253"/>
      <c r="B49" s="380"/>
      <c r="C49" s="380"/>
      <c r="D49" s="3115" t="s">
        <v>1493</v>
      </c>
      <c r="E49" s="3116"/>
      <c r="F49" s="3116"/>
      <c r="G49" s="998">
        <f>G48*G48/((0.66872*G47)-463.37-(205.347*((G47/1000)^2)))</f>
        <v>23.082378571129247</v>
      </c>
      <c r="H49" s="3122" t="s">
        <v>1520</v>
      </c>
      <c r="I49" s="3123"/>
      <c r="J49" s="3123"/>
      <c r="K49" s="3123"/>
      <c r="L49" s="3123"/>
      <c r="M49" s="3123"/>
      <c r="N49" s="3123"/>
      <c r="O49" s="1566"/>
      <c r="P49" s="380"/>
      <c r="Q49" s="380"/>
      <c r="R49" s="380"/>
      <c r="S49" s="380"/>
      <c r="T49" s="253"/>
      <c r="U49" s="1704"/>
      <c r="V49" s="1704"/>
      <c r="W49" s="1704"/>
    </row>
    <row r="50" spans="1:23" ht="17.25" customHeight="1">
      <c r="A50" s="253"/>
      <c r="B50" s="380"/>
      <c r="C50" s="380"/>
      <c r="D50" s="380"/>
      <c r="E50" s="380"/>
      <c r="F50" s="380"/>
      <c r="G50" s="380"/>
      <c r="H50" s="380"/>
      <c r="I50" s="380"/>
      <c r="J50" s="1009"/>
      <c r="K50" s="380"/>
      <c r="L50" s="380"/>
      <c r="M50" s="380"/>
      <c r="N50" s="380"/>
      <c r="O50" s="380"/>
      <c r="P50" s="380"/>
      <c r="Q50" s="380"/>
      <c r="R50" s="1565"/>
      <c r="S50" s="380"/>
      <c r="T50" s="253"/>
      <c r="U50" s="1704"/>
      <c r="V50" s="1704"/>
      <c r="W50" s="1704"/>
    </row>
    <row r="51" spans="1:23" ht="17.25" customHeight="1">
      <c r="A51" s="253"/>
      <c r="B51" s="3035" t="s">
        <v>994</v>
      </c>
      <c r="C51" s="3035"/>
      <c r="D51" s="1008" t="s">
        <v>995</v>
      </c>
      <c r="E51" s="3036" t="s">
        <v>1489</v>
      </c>
      <c r="F51" s="3037"/>
      <c r="G51" s="258" t="s">
        <v>1490</v>
      </c>
      <c r="H51" s="289"/>
      <c r="I51" s="2311" t="s">
        <v>1636</v>
      </c>
      <c r="J51" s="1008" t="s">
        <v>995</v>
      </c>
      <c r="K51" s="3038" t="s">
        <v>1489</v>
      </c>
      <c r="L51" s="3038"/>
      <c r="M51" s="2482" t="s">
        <v>1490</v>
      </c>
      <c r="N51" s="3026" t="s">
        <v>996</v>
      </c>
      <c r="O51" s="3027"/>
      <c r="P51" s="3027"/>
      <c r="Q51" s="3027"/>
      <c r="R51" s="3027"/>
      <c r="S51" s="1011"/>
      <c r="T51" s="2486"/>
      <c r="U51" s="1704"/>
      <c r="V51" s="1704"/>
      <c r="W51" s="1704"/>
    </row>
    <row r="52" spans="1:23" ht="17.25" customHeight="1">
      <c r="A52" s="291"/>
      <c r="B52" s="3028" t="s">
        <v>1588</v>
      </c>
      <c r="C52" s="3028"/>
      <c r="D52" s="273">
        <v>1080</v>
      </c>
      <c r="E52" s="3029">
        <f>(-616.868)+(1111.14*(D52/1000))-(630.272*POWER((D52/1000),2))+(135.997*POWER((D52/1000),3))</f>
        <v>19.330992064000014</v>
      </c>
      <c r="F52" s="3029"/>
      <c r="G52" s="292">
        <f>145.14-(145140/D52)</f>
        <v>10.751111111111101</v>
      </c>
      <c r="H52" s="289"/>
      <c r="I52" s="253"/>
      <c r="J52" s="2228">
        <v>18</v>
      </c>
      <c r="K52" s="3030">
        <f>(-616.868)+(1111.14*((J52+1000)/1000))-(630.272*POWER(((J52+1000)/1000),2))+(135.997*POWER(((J52+1000)/1000),3))</f>
        <v>4.5803400905040519</v>
      </c>
      <c r="L52" s="3030"/>
      <c r="M52" s="2481">
        <f>145.14-((145140/(J52+1000)))</f>
        <v>2.5663261296660096</v>
      </c>
      <c r="N52" s="3031" t="s">
        <v>997</v>
      </c>
      <c r="O52" s="3032"/>
      <c r="P52" s="3032"/>
      <c r="Q52" s="3032"/>
      <c r="R52" s="3032"/>
      <c r="S52" s="289"/>
      <c r="T52" s="289"/>
      <c r="U52" s="1704"/>
      <c r="V52" s="1704"/>
      <c r="W52" s="1704"/>
    </row>
    <row r="53" spans="1:23" ht="17.25" customHeight="1">
      <c r="A53" s="253"/>
      <c r="B53" s="253"/>
      <c r="C53" s="253"/>
      <c r="D53" s="290">
        <f>1000*(1+(E53/(258.6-((E53/258.2)*227.1))))</f>
        <v>1020.0697094798217</v>
      </c>
      <c r="E53" s="3033">
        <v>5.0999999999999996</v>
      </c>
      <c r="F53" s="3033"/>
      <c r="G53" s="2480">
        <f>145.14-(145140/D53)</f>
        <v>2.8556064422172938</v>
      </c>
      <c r="H53" s="1012"/>
      <c r="I53" s="253"/>
      <c r="J53" s="290">
        <f>1000*((K53/(258.6-((K53/258.2)*227.1))))</f>
        <v>20.069709479821693</v>
      </c>
      <c r="K53" s="3034">
        <v>5.0999999999999996</v>
      </c>
      <c r="L53" s="3034"/>
      <c r="M53" s="293">
        <f>145.14-((145140/(J53+1000)))</f>
        <v>2.8556064422172938</v>
      </c>
      <c r="N53" s="3031"/>
      <c r="O53" s="3032"/>
      <c r="P53" s="3032"/>
      <c r="Q53" s="3032"/>
      <c r="R53" s="3032"/>
      <c r="S53" s="289"/>
      <c r="T53" s="289"/>
      <c r="U53" s="1704"/>
      <c r="V53" s="1704"/>
      <c r="W53" s="1704"/>
    </row>
    <row r="54" spans="1:23" ht="17.25" customHeight="1">
      <c r="A54" s="253"/>
      <c r="B54" s="253"/>
      <c r="C54" s="253"/>
      <c r="D54" s="290">
        <f>1000*145.14/(145.14-G54)</f>
        <v>1062.9852058004981</v>
      </c>
      <c r="E54" s="3029">
        <f>(-616.868)+(1111.14*(D54/1000))-(630.272*POWER((D54/1000),2))+(135.997*POWER((D54/1000),3))</f>
        <v>15.436318112831145</v>
      </c>
      <c r="F54" s="3029"/>
      <c r="G54" s="2914">
        <v>8.6</v>
      </c>
      <c r="H54" s="1012"/>
      <c r="I54" s="253"/>
      <c r="J54" s="290">
        <f>1000*(145.14/(145.14-M54)-1)</f>
        <v>62.985205800498044</v>
      </c>
      <c r="K54" s="3040">
        <f>(-616.868)+(1111.14*((J54+1000)/1000))-(630.272*POWER(((J54+1000)/1000),2))+(135.997*POWER(((J54+1000)/1000),3))</f>
        <v>15.436318112831145</v>
      </c>
      <c r="L54" s="3040"/>
      <c r="M54" s="2915">
        <v>8.6</v>
      </c>
      <c r="N54" s="1013"/>
      <c r="O54" s="383"/>
      <c r="P54" s="383"/>
      <c r="Q54" s="383"/>
      <c r="R54" s="383"/>
      <c r="S54" s="2486"/>
      <c r="T54" s="253"/>
      <c r="U54" s="1704"/>
      <c r="V54" s="1704"/>
      <c r="W54" s="1704"/>
    </row>
    <row r="55" spans="1:23" ht="16.5" customHeight="1">
      <c r="A55" s="253"/>
      <c r="B55" s="253"/>
      <c r="C55" s="253"/>
      <c r="D55" s="3051" t="s">
        <v>1491</v>
      </c>
      <c r="E55" s="3051"/>
      <c r="F55" s="3051"/>
      <c r="G55" s="3051"/>
      <c r="H55" s="3051"/>
      <c r="I55" s="3051"/>
      <c r="J55" s="3051"/>
      <c r="K55" s="3051"/>
      <c r="L55" s="3051"/>
      <c r="M55" s="3051"/>
      <c r="N55" s="380"/>
      <c r="O55" s="380"/>
      <c r="P55" s="380"/>
      <c r="Q55" s="380"/>
      <c r="R55" s="380"/>
      <c r="S55" s="2486"/>
      <c r="T55" s="253"/>
      <c r="U55" s="1704"/>
      <c r="V55" s="1704"/>
      <c r="W55" s="1704"/>
    </row>
    <row r="56" spans="1:23" ht="16.5" customHeight="1">
      <c r="A56" s="253"/>
      <c r="B56" s="253"/>
      <c r="C56" s="253"/>
      <c r="D56" s="3051"/>
      <c r="E56" s="3051"/>
      <c r="F56" s="3051"/>
      <c r="G56" s="3051"/>
      <c r="H56" s="3051"/>
      <c r="I56" s="3051"/>
      <c r="J56" s="3051"/>
      <c r="K56" s="3051"/>
      <c r="L56" s="3051"/>
      <c r="M56" s="3051"/>
      <c r="N56" s="380"/>
      <c r="O56" s="380"/>
      <c r="P56" s="380"/>
      <c r="Q56" s="380"/>
      <c r="R56" s="380"/>
      <c r="S56" s="2486"/>
      <c r="T56" s="294"/>
      <c r="U56" s="1704"/>
      <c r="V56" s="1704"/>
      <c r="W56" s="1704"/>
    </row>
    <row r="57" spans="1:23" ht="20.25" customHeight="1">
      <c r="A57" s="253"/>
      <c r="B57" s="253"/>
      <c r="C57" s="253"/>
      <c r="D57" s="3051"/>
      <c r="E57" s="3051"/>
      <c r="F57" s="3051"/>
      <c r="G57" s="3051"/>
      <c r="H57" s="3051"/>
      <c r="I57" s="3051"/>
      <c r="J57" s="3051"/>
      <c r="K57" s="3051"/>
      <c r="L57" s="3051"/>
      <c r="M57" s="3051"/>
      <c r="N57" s="380"/>
      <c r="O57" s="380"/>
      <c r="P57" s="1014"/>
      <c r="Q57" s="380"/>
      <c r="R57" s="380"/>
      <c r="S57" s="2486"/>
      <c r="T57" s="294"/>
      <c r="U57" s="1704"/>
      <c r="V57" s="1704"/>
      <c r="W57" s="1704"/>
    </row>
    <row r="58" spans="1:23" ht="17.25" customHeight="1">
      <c r="A58" s="253"/>
      <c r="B58" s="253"/>
      <c r="C58" s="253"/>
      <c r="D58" s="3052" t="s">
        <v>1662</v>
      </c>
      <c r="E58" s="3052"/>
      <c r="F58" s="3052"/>
      <c r="G58" s="3052"/>
      <c r="H58" s="3052"/>
      <c r="I58" s="3052"/>
      <c r="J58" s="3052"/>
      <c r="K58" s="3052"/>
      <c r="L58" s="3052"/>
      <c r="M58" s="3052"/>
      <c r="N58" s="556"/>
      <c r="O58" s="382"/>
      <c r="P58" s="380"/>
      <c r="Q58" s="380"/>
      <c r="R58" s="380"/>
      <c r="S58" s="2486"/>
      <c r="T58" s="2486"/>
      <c r="U58" s="1704"/>
      <c r="V58" s="1704"/>
      <c r="W58" s="1704"/>
    </row>
    <row r="59" spans="1:23" ht="17.25" customHeight="1">
      <c r="A59" s="253"/>
      <c r="B59" s="264"/>
      <c r="C59" s="264"/>
      <c r="D59" s="2483"/>
      <c r="E59" s="2483"/>
      <c r="F59" s="2483"/>
      <c r="G59" s="2483"/>
      <c r="H59" s="2483"/>
      <c r="I59" s="2483"/>
      <c r="J59" s="2483"/>
      <c r="K59" s="2483"/>
      <c r="L59" s="2483"/>
      <c r="M59" s="2483"/>
      <c r="N59" s="556"/>
      <c r="O59" s="380"/>
      <c r="P59" s="380"/>
      <c r="Q59" s="380"/>
      <c r="R59" s="593"/>
      <c r="S59" s="2486"/>
      <c r="T59" s="2483"/>
      <c r="U59" s="1704"/>
      <c r="V59" s="1704"/>
      <c r="W59" s="1704"/>
    </row>
    <row r="60" spans="1:23" ht="17.25" customHeight="1">
      <c r="A60" s="253"/>
      <c r="B60" s="253"/>
      <c r="C60" s="253"/>
      <c r="D60" s="253"/>
      <c r="E60" s="253"/>
      <c r="F60" s="253"/>
      <c r="G60" s="253"/>
      <c r="H60" s="253"/>
      <c r="I60" s="253"/>
      <c r="J60" s="253"/>
      <c r="K60" s="253"/>
      <c r="L60" s="253"/>
      <c r="M60" s="253"/>
      <c r="N60" s="556"/>
      <c r="O60" s="380"/>
      <c r="P60" s="380"/>
      <c r="Q60" s="380"/>
      <c r="R60" s="380"/>
      <c r="S60" s="2486"/>
      <c r="T60" s="253"/>
      <c r="U60" s="1942"/>
      <c r="V60" s="1942"/>
      <c r="W60" s="1942"/>
    </row>
    <row r="61" spans="1:23" ht="17.25" customHeight="1">
      <c r="A61" s="253"/>
      <c r="B61" s="3049" t="s">
        <v>998</v>
      </c>
      <c r="C61" s="3049"/>
      <c r="D61" s="2534" t="s">
        <v>152</v>
      </c>
      <c r="E61" s="1015" t="s">
        <v>1484</v>
      </c>
      <c r="F61" s="2623" t="s">
        <v>135</v>
      </c>
      <c r="G61" s="253"/>
      <c r="H61" s="2450" t="s">
        <v>1664</v>
      </c>
      <c r="I61" s="1016" t="s">
        <v>152</v>
      </c>
      <c r="J61" s="2374" t="s">
        <v>1660</v>
      </c>
      <c r="K61" s="2623" t="s">
        <v>135</v>
      </c>
      <c r="L61" s="253"/>
      <c r="M61" s="3050" t="s">
        <v>1661</v>
      </c>
      <c r="N61" s="3050"/>
      <c r="O61" s="3050"/>
      <c r="P61" s="1015" t="s">
        <v>1484</v>
      </c>
      <c r="Q61" s="1017" t="s">
        <v>1492</v>
      </c>
      <c r="R61" s="2373" t="s">
        <v>1660</v>
      </c>
      <c r="S61" s="2486"/>
      <c r="T61" s="2486"/>
      <c r="U61" s="1942"/>
      <c r="V61" s="1942"/>
      <c r="W61" s="1942"/>
    </row>
    <row r="62" spans="1:23" ht="17.25" customHeight="1">
      <c r="A62" s="253"/>
      <c r="B62" s="253"/>
      <c r="C62" s="253"/>
      <c r="D62" s="295">
        <f>E62*4/7</f>
        <v>40</v>
      </c>
      <c r="E62" s="261">
        <v>70</v>
      </c>
      <c r="F62" s="295">
        <f>100*U62/V62</f>
        <v>34.480649951952479</v>
      </c>
      <c r="G62" s="253"/>
      <c r="H62" s="2483"/>
      <c r="I62" s="295">
        <f>J62/2</f>
        <v>40</v>
      </c>
      <c r="J62" s="261">
        <v>80</v>
      </c>
      <c r="K62" s="296">
        <f>100*U63/V63</f>
        <v>34.480649951952479</v>
      </c>
      <c r="L62" s="253"/>
      <c r="M62" s="253"/>
      <c r="N62" s="253"/>
      <c r="O62" s="253"/>
      <c r="P62" s="295">
        <f>Q62*7/8</f>
        <v>61.25</v>
      </c>
      <c r="Q62" s="297">
        <v>70</v>
      </c>
      <c r="R62" s="1008">
        <f>Q62*8/7</f>
        <v>80</v>
      </c>
      <c r="S62" s="2486"/>
      <c r="T62" s="2486"/>
      <c r="U62" s="1943">
        <f>D62*O101/1000</f>
        <v>31.576000000000001</v>
      </c>
      <c r="V62" s="386">
        <f>U62+(100-D62)</f>
        <v>91.575999999999993</v>
      </c>
      <c r="W62" s="386">
        <f>(F62)/(D62)</f>
        <v>0.862016248798812</v>
      </c>
    </row>
    <row r="63" spans="1:23" ht="17.25" customHeight="1">
      <c r="A63" s="253"/>
      <c r="B63" s="253"/>
      <c r="C63" s="253"/>
      <c r="D63" s="2486"/>
      <c r="E63" s="2486"/>
      <c r="F63" s="2613"/>
      <c r="G63" s="2613"/>
      <c r="H63" s="253"/>
      <c r="I63" s="299"/>
      <c r="J63" s="299"/>
      <c r="K63" s="299"/>
      <c r="L63" s="253"/>
      <c r="M63" s="253"/>
      <c r="N63" s="253"/>
      <c r="O63" s="380"/>
      <c r="P63" s="380"/>
      <c r="Q63" s="380"/>
      <c r="R63" s="380"/>
      <c r="S63" s="380"/>
      <c r="T63" s="2483"/>
      <c r="U63" s="386">
        <f>I62*O101/1000</f>
        <v>31.576000000000001</v>
      </c>
      <c r="V63" s="386">
        <f>U63+(100-I62)</f>
        <v>91.575999999999993</v>
      </c>
      <c r="W63" s="386">
        <f>(K62)/(I62)</f>
        <v>0.862016248798812</v>
      </c>
    </row>
    <row r="64" spans="1:23" ht="17.25" customHeight="1">
      <c r="A64" s="253"/>
      <c r="B64" s="253"/>
      <c r="C64" s="300" t="s">
        <v>999</v>
      </c>
      <c r="D64" s="2882" t="s">
        <v>152</v>
      </c>
      <c r="E64" s="2882" t="s">
        <v>135</v>
      </c>
      <c r="F64" s="1015" t="s">
        <v>1484</v>
      </c>
      <c r="G64" s="2373" t="s">
        <v>1660</v>
      </c>
      <c r="H64" s="3041" t="s">
        <v>1000</v>
      </c>
      <c r="I64" s="3041"/>
      <c r="J64" s="3041"/>
      <c r="K64" s="258" t="s">
        <v>135</v>
      </c>
      <c r="L64" s="258" t="s">
        <v>152</v>
      </c>
      <c r="M64" s="1015" t="s">
        <v>1484</v>
      </c>
      <c r="N64" s="2373" t="s">
        <v>1660</v>
      </c>
      <c r="O64" s="3042" t="s">
        <v>1060</v>
      </c>
      <c r="P64" s="3043"/>
      <c r="Q64" s="3043"/>
      <c r="R64" s="3043"/>
      <c r="S64" s="3043"/>
      <c r="T64" s="2485"/>
      <c r="U64" s="1942"/>
      <c r="V64" s="1942"/>
      <c r="W64" s="1942"/>
    </row>
    <row r="65" spans="1:23" ht="17.25" customHeight="1">
      <c r="A65" s="253"/>
      <c r="B65" s="253"/>
      <c r="C65" s="253"/>
      <c r="D65" s="297">
        <v>50</v>
      </c>
      <c r="E65" s="295">
        <f>100*U65/V65</f>
        <v>44.115345926008722</v>
      </c>
      <c r="F65" s="301">
        <f>D65*7/4</f>
        <v>87.5</v>
      </c>
      <c r="G65" s="295">
        <f>F65*8/7</f>
        <v>100</v>
      </c>
      <c r="H65" s="302"/>
      <c r="I65" s="302"/>
      <c r="J65" s="302"/>
      <c r="K65" s="268">
        <v>100</v>
      </c>
      <c r="L65" s="290">
        <f>K65/(W67+0.00000001)</f>
        <v>99.999999009999996</v>
      </c>
      <c r="M65" s="301">
        <f>L65*7/4</f>
        <v>174.99999826749999</v>
      </c>
      <c r="N65" s="295">
        <f>M65*8/7</f>
        <v>199.99999801999999</v>
      </c>
      <c r="O65" s="380"/>
      <c r="P65" s="380"/>
      <c r="Q65" s="380"/>
      <c r="R65" s="380"/>
      <c r="S65" s="380"/>
      <c r="T65" s="2485"/>
      <c r="U65" s="386">
        <f>D65*O101/1000</f>
        <v>39.47</v>
      </c>
      <c r="V65" s="386">
        <f>U65+(100-D65)</f>
        <v>89.47</v>
      </c>
      <c r="W65" s="386">
        <f>(E65)/(D65)</f>
        <v>0.8823069185201744</v>
      </c>
    </row>
    <row r="66" spans="1:23" ht="17.25" customHeight="1">
      <c r="A66" s="253"/>
      <c r="B66" s="302"/>
      <c r="C66" s="302"/>
      <c r="D66" s="302"/>
      <c r="E66" s="302"/>
      <c r="F66" s="302"/>
      <c r="G66" s="302"/>
      <c r="H66" s="302"/>
      <c r="I66" s="302"/>
      <c r="J66" s="302"/>
      <c r="K66" s="302"/>
      <c r="L66" s="302"/>
      <c r="M66" s="302"/>
      <c r="N66" s="302"/>
      <c r="O66" s="253"/>
      <c r="P66" s="253"/>
      <c r="Q66" s="253"/>
      <c r="R66" s="253"/>
      <c r="S66" s="253"/>
      <c r="T66" s="2485"/>
      <c r="U66" s="1942"/>
      <c r="V66" s="1942"/>
      <c r="W66" s="1942"/>
    </row>
    <row r="67" spans="1:23" ht="17.25" customHeight="1">
      <c r="A67" s="253"/>
      <c r="B67" s="3053" t="s">
        <v>1755</v>
      </c>
      <c r="C67" s="3053"/>
      <c r="D67" s="3053"/>
      <c r="E67" s="3053"/>
      <c r="F67" s="3053"/>
      <c r="G67" s="3053"/>
      <c r="H67" s="3053"/>
      <c r="I67" s="3053"/>
      <c r="J67" s="3053"/>
      <c r="K67" s="3053"/>
      <c r="L67" s="3053"/>
      <c r="M67" s="3053"/>
      <c r="N67" s="3053"/>
      <c r="O67" s="3053"/>
      <c r="P67" s="3053"/>
      <c r="Q67" s="3053"/>
      <c r="R67" s="3053"/>
      <c r="S67" s="1243"/>
      <c r="T67" s="253"/>
      <c r="U67" s="386">
        <f>K65*O101/1000</f>
        <v>78.94</v>
      </c>
      <c r="V67" s="386">
        <f>U67+(100-K65)</f>
        <v>78.94</v>
      </c>
      <c r="W67" s="386">
        <f>W68/(K65+0.00000001)</f>
        <v>0.9999999999000001</v>
      </c>
    </row>
    <row r="68" spans="1:23" ht="17.25" customHeight="1">
      <c r="A68" s="253"/>
      <c r="B68" s="263"/>
      <c r="C68" s="263"/>
      <c r="D68" s="263"/>
      <c r="E68" s="263"/>
      <c r="F68" s="263"/>
      <c r="G68" s="263"/>
      <c r="H68" s="263"/>
      <c r="I68" s="263"/>
      <c r="J68" s="263"/>
      <c r="K68" s="263"/>
      <c r="L68" s="263"/>
      <c r="M68" s="263"/>
      <c r="N68" s="263"/>
      <c r="O68" s="263"/>
      <c r="P68" s="263"/>
      <c r="Q68" s="263"/>
      <c r="R68" s="263"/>
      <c r="S68" s="380"/>
      <c r="T68" s="253"/>
      <c r="U68" s="386">
        <f>L65*O101/1000</f>
        <v>78.939999218493995</v>
      </c>
      <c r="V68" s="386">
        <f>U68+(100-K65)</f>
        <v>78.939999218493995</v>
      </c>
      <c r="W68" s="1944">
        <f>100*U67/V67</f>
        <v>100</v>
      </c>
    </row>
    <row r="69" spans="1:23" ht="17.25" customHeight="1">
      <c r="A69" s="253"/>
      <c r="B69" s="305"/>
      <c r="C69" s="306"/>
      <c r="D69" s="306"/>
      <c r="E69" s="306"/>
      <c r="F69" s="306"/>
      <c r="G69" s="306"/>
      <c r="H69" s="306"/>
      <c r="I69" s="306"/>
      <c r="J69" s="306"/>
      <c r="K69" s="306"/>
      <c r="L69" s="1018"/>
      <c r="M69" s="1018"/>
      <c r="N69" s="1018"/>
      <c r="O69" s="1018"/>
      <c r="P69" s="1018"/>
      <c r="Q69" s="1018"/>
      <c r="R69" s="1018"/>
      <c r="S69" s="1018"/>
      <c r="T69" s="306"/>
      <c r="U69" s="1945"/>
      <c r="V69" s="1945"/>
      <c r="W69" s="1945"/>
    </row>
    <row r="70" spans="1:23" ht="17.25" customHeight="1">
      <c r="A70" s="253"/>
      <c r="B70" s="3044" t="s">
        <v>1001</v>
      </c>
      <c r="C70" s="3044"/>
      <c r="D70" s="2487"/>
      <c r="E70" s="3045" t="s">
        <v>779</v>
      </c>
      <c r="F70" s="3045"/>
      <c r="G70" s="3045"/>
      <c r="H70" s="3045"/>
      <c r="I70" s="3045"/>
      <c r="J70" s="3045"/>
      <c r="K70" s="3045"/>
      <c r="L70" s="1018"/>
      <c r="M70" s="1018"/>
      <c r="N70" s="1018"/>
      <c r="O70" s="1018"/>
      <c r="P70" s="1018"/>
      <c r="Q70" s="1018"/>
      <c r="R70" s="1018"/>
      <c r="S70" s="1018"/>
      <c r="T70" s="306"/>
      <c r="U70" s="1945"/>
      <c r="V70" s="1945"/>
      <c r="W70" s="1945"/>
    </row>
    <row r="71" spans="1:23" ht="17.25" customHeight="1">
      <c r="A71" s="253"/>
      <c r="B71" s="253"/>
      <c r="C71" s="307" t="s">
        <v>780</v>
      </c>
      <c r="D71" s="2596">
        <v>1070</v>
      </c>
      <c r="E71" s="3046"/>
      <c r="F71" s="3046"/>
      <c r="G71" s="1965"/>
      <c r="H71" s="3047" t="s">
        <v>1002</v>
      </c>
      <c r="I71" s="3047"/>
      <c r="J71" s="3047"/>
      <c r="K71" s="2127">
        <f>D71+G72-D72+G73-D73</f>
        <v>86</v>
      </c>
      <c r="L71" s="3126" t="s">
        <v>1003</v>
      </c>
      <c r="M71" s="3127"/>
      <c r="N71" s="3127"/>
      <c r="O71" s="3127"/>
      <c r="P71" s="3127"/>
      <c r="Q71" s="3127"/>
      <c r="R71" s="3127"/>
      <c r="S71" s="1560"/>
      <c r="T71" s="253"/>
      <c r="U71" s="1942"/>
      <c r="V71" s="1942"/>
      <c r="W71" s="1942"/>
    </row>
    <row r="72" spans="1:23" ht="17.25" customHeight="1">
      <c r="A72" s="253"/>
      <c r="B72" s="253"/>
      <c r="C72" s="308" t="s">
        <v>781</v>
      </c>
      <c r="D72" s="2597">
        <v>1004</v>
      </c>
      <c r="E72" s="3048" t="s">
        <v>782</v>
      </c>
      <c r="F72" s="3048"/>
      <c r="G72" s="2599">
        <v>1020</v>
      </c>
      <c r="H72" s="3026" t="s">
        <v>1004</v>
      </c>
      <c r="I72" s="3027"/>
      <c r="J72" s="3027"/>
      <c r="K72" s="2128">
        <f>K71-((D71-D72)+(G72-D73)+(G73-D74))</f>
        <v>994</v>
      </c>
      <c r="L72" s="3126"/>
      <c r="M72" s="3127"/>
      <c r="N72" s="3127"/>
      <c r="O72" s="3127"/>
      <c r="P72" s="3127"/>
      <c r="Q72" s="3127"/>
      <c r="R72" s="3127"/>
      <c r="S72" s="1560"/>
      <c r="T72" s="253"/>
      <c r="U72" s="1942"/>
      <c r="V72" s="1942"/>
      <c r="W72" s="1942"/>
    </row>
    <row r="73" spans="1:23" ht="17.25" customHeight="1">
      <c r="A73" s="253"/>
      <c r="B73" s="253"/>
      <c r="C73" s="308" t="s">
        <v>785</v>
      </c>
      <c r="D73" s="2597">
        <v>1000</v>
      </c>
      <c r="E73" s="3048" t="s">
        <v>782</v>
      </c>
      <c r="F73" s="3048"/>
      <c r="G73" s="2600"/>
      <c r="H73" s="3125" t="s">
        <v>1005</v>
      </c>
      <c r="I73" s="3125"/>
      <c r="J73" s="3125"/>
      <c r="K73" s="2129">
        <f>(K71-K72)/(7.75-(3*(K71-1000)/800))</f>
        <v>-81.234623126817269</v>
      </c>
      <c r="L73" s="1567"/>
      <c r="M73" s="1560"/>
      <c r="N73" s="1560"/>
      <c r="O73" s="1560"/>
      <c r="P73" s="1560"/>
      <c r="Q73" s="1560"/>
      <c r="R73" s="1560"/>
      <c r="S73" s="1560"/>
      <c r="T73" s="253"/>
      <c r="U73" s="1942"/>
      <c r="V73" s="1942"/>
      <c r="W73" s="1942"/>
    </row>
    <row r="74" spans="1:23" ht="17.25" customHeight="1">
      <c r="A74" s="253"/>
      <c r="B74" s="253"/>
      <c r="C74" s="309" t="s">
        <v>786</v>
      </c>
      <c r="D74" s="2598">
        <v>994</v>
      </c>
      <c r="E74" s="3128" t="s">
        <v>1006</v>
      </c>
      <c r="F74" s="3129"/>
      <c r="G74" s="3129"/>
      <c r="H74" s="3129"/>
      <c r="I74" s="3129"/>
      <c r="J74" s="3129"/>
      <c r="K74" s="3130"/>
      <c r="L74" s="380"/>
      <c r="M74" s="380"/>
      <c r="N74" s="380"/>
      <c r="O74" s="380"/>
      <c r="P74" s="380"/>
      <c r="Q74" s="380"/>
      <c r="R74" s="380"/>
      <c r="S74" s="380"/>
      <c r="T74" s="253"/>
      <c r="U74" s="386"/>
      <c r="V74" s="386"/>
      <c r="W74" s="386"/>
    </row>
    <row r="75" spans="1:23" ht="17.25" customHeight="1">
      <c r="A75" s="253"/>
      <c r="B75" s="253"/>
      <c r="C75" s="253"/>
      <c r="D75" s="253"/>
      <c r="E75" s="253"/>
      <c r="F75" s="253"/>
      <c r="G75" s="253"/>
      <c r="H75" s="253"/>
      <c r="I75" s="253"/>
      <c r="J75" s="253"/>
      <c r="K75" s="253"/>
      <c r="L75" s="380"/>
      <c r="M75" s="380"/>
      <c r="N75" s="380"/>
      <c r="O75" s="380"/>
      <c r="P75" s="380"/>
      <c r="Q75" s="380"/>
      <c r="R75" s="380"/>
      <c r="S75" s="380"/>
      <c r="T75" s="253"/>
      <c r="U75" s="386"/>
      <c r="V75" s="386"/>
      <c r="W75" s="386"/>
    </row>
    <row r="76" spans="1:23" ht="17.25" customHeight="1">
      <c r="A76" s="253"/>
      <c r="B76" s="253"/>
      <c r="C76" s="253"/>
      <c r="D76" s="253"/>
      <c r="E76" s="253"/>
      <c r="F76" s="253"/>
      <c r="G76" s="253"/>
      <c r="H76" s="253"/>
      <c r="I76" s="253"/>
      <c r="J76" s="253"/>
      <c r="K76" s="253"/>
      <c r="L76" s="253"/>
      <c r="M76" s="253"/>
      <c r="N76" s="253"/>
      <c r="O76" s="253"/>
      <c r="P76" s="253"/>
      <c r="Q76" s="380"/>
      <c r="R76" s="380"/>
      <c r="T76" s="253"/>
      <c r="U76" s="1942"/>
      <c r="V76" s="1942"/>
      <c r="W76" s="1942"/>
    </row>
    <row r="77" spans="1:23" ht="17.25" customHeight="1">
      <c r="A77" s="253"/>
      <c r="B77" s="3137" t="s">
        <v>1007</v>
      </c>
      <c r="C77" s="3137"/>
      <c r="D77" s="253"/>
      <c r="E77" s="253"/>
      <c r="F77" s="253"/>
      <c r="G77" s="253"/>
      <c r="H77" s="253"/>
      <c r="I77" s="253"/>
      <c r="J77" s="253"/>
      <c r="K77" s="253"/>
      <c r="L77" s="253"/>
      <c r="M77" s="3131" t="s">
        <v>1008</v>
      </c>
      <c r="N77" s="3132"/>
      <c r="O77" s="3135" t="s">
        <v>1009</v>
      </c>
      <c r="P77" s="3136"/>
      <c r="Q77" s="380"/>
      <c r="R77" s="380"/>
      <c r="S77" s="253"/>
      <c r="T77" s="253"/>
      <c r="U77" s="1704"/>
      <c r="V77" s="1704"/>
      <c r="W77" s="1704"/>
    </row>
    <row r="78" spans="1:23" ht="17.25" customHeight="1">
      <c r="A78" s="253"/>
      <c r="B78" s="253"/>
      <c r="C78" s="3113" t="s">
        <v>1817</v>
      </c>
      <c r="D78" s="3113"/>
      <c r="E78" s="2902">
        <v>10</v>
      </c>
      <c r="F78" s="2903" t="s">
        <v>429</v>
      </c>
      <c r="G78" s="2904"/>
      <c r="H78" s="2904"/>
      <c r="I78" s="967"/>
      <c r="J78" s="253"/>
      <c r="K78" s="253"/>
      <c r="L78" s="253"/>
      <c r="M78" s="3133"/>
      <c r="N78" s="3134"/>
      <c r="O78" s="3039" t="s">
        <v>1010</v>
      </c>
      <c r="P78" s="3039"/>
      <c r="Q78" s="380"/>
      <c r="R78" s="380"/>
      <c r="S78" s="253"/>
      <c r="T78" s="253"/>
      <c r="U78" s="1704"/>
      <c r="V78" s="1704"/>
      <c r="W78" s="1704"/>
    </row>
    <row r="79" spans="1:23" ht="17.25" customHeight="1">
      <c r="A79" s="253"/>
      <c r="B79" s="253"/>
      <c r="C79" s="3107" t="s">
        <v>1818</v>
      </c>
      <c r="D79" s="3108"/>
      <c r="E79" s="3109" t="s">
        <v>1819</v>
      </c>
      <c r="F79" s="3110"/>
      <c r="G79" s="2905" t="s">
        <v>152</v>
      </c>
      <c r="H79" s="2906" t="s">
        <v>292</v>
      </c>
      <c r="I79" s="2900" t="s">
        <v>1816</v>
      </c>
      <c r="J79" s="253"/>
      <c r="K79" s="253"/>
      <c r="L79" s="253"/>
      <c r="M79" s="3078" t="s">
        <v>1011</v>
      </c>
      <c r="N79" s="3079"/>
      <c r="O79" s="1349">
        <v>12.7</v>
      </c>
      <c r="P79" s="312">
        <f t="shared" ref="P79:P99" si="0">O79*O$101/1000</f>
        <v>10.025379999999998</v>
      </c>
      <c r="Q79" s="380"/>
      <c r="R79" s="380"/>
      <c r="S79" s="253"/>
      <c r="T79" s="253"/>
      <c r="U79" s="1704"/>
      <c r="V79" s="1704"/>
      <c r="W79" s="1704"/>
    </row>
    <row r="80" spans="1:23" ht="17.25" customHeight="1">
      <c r="A80" s="253"/>
      <c r="B80" s="253"/>
      <c r="C80" s="2907">
        <v>500</v>
      </c>
      <c r="D80" s="2908" t="s">
        <v>149</v>
      </c>
      <c r="E80" s="3111">
        <v>1</v>
      </c>
      <c r="F80" s="3112"/>
      <c r="G80" s="2909">
        <v>3.8</v>
      </c>
      <c r="H80" s="2910">
        <f>(C80*G80*E80)/(100*E78)</f>
        <v>1.9</v>
      </c>
      <c r="I80" s="2900" t="str">
        <f>E80*C80&amp;"ml"</f>
        <v>500ml</v>
      </c>
      <c r="J80" s="253"/>
      <c r="K80" s="253"/>
      <c r="L80" s="253"/>
      <c r="M80" s="3078" t="s">
        <v>1012</v>
      </c>
      <c r="N80" s="3079"/>
      <c r="O80" s="1350">
        <v>7.62</v>
      </c>
      <c r="P80" s="1004">
        <f t="shared" si="0"/>
        <v>6.0152280000000005</v>
      </c>
      <c r="Q80" s="380"/>
      <c r="R80" s="380"/>
      <c r="S80" s="253"/>
      <c r="T80" s="253"/>
      <c r="U80" s="1704"/>
      <c r="V80" s="1704"/>
      <c r="W80" s="1704"/>
    </row>
    <row r="81" spans="1:23" ht="17.25" customHeight="1">
      <c r="A81" s="253"/>
      <c r="B81" s="253"/>
      <c r="C81" s="2907">
        <v>1</v>
      </c>
      <c r="D81" s="2911" t="s">
        <v>1821</v>
      </c>
      <c r="E81" s="3111">
        <v>2</v>
      </c>
      <c r="F81" s="3112"/>
      <c r="G81" s="2909">
        <f>G80</f>
        <v>3.8</v>
      </c>
      <c r="H81" s="2910">
        <f>(C81*568.3*G81*E81)/(100*E78)</f>
        <v>4.3190799999999987</v>
      </c>
      <c r="I81" s="2901" t="str">
        <f>E81*FIXED(C81*568,0)&amp;"ml"</f>
        <v>1136ml</v>
      </c>
      <c r="J81" s="253"/>
      <c r="K81" s="253"/>
      <c r="L81" s="253"/>
      <c r="M81" s="3078" t="s">
        <v>1013</v>
      </c>
      <c r="N81" s="3079"/>
      <c r="O81" s="1350">
        <v>17.2</v>
      </c>
      <c r="P81" s="1004">
        <f t="shared" si="0"/>
        <v>13.577679999999999</v>
      </c>
      <c r="Q81" s="380"/>
      <c r="R81" s="380"/>
      <c r="S81" s="253"/>
      <c r="T81" s="253"/>
      <c r="U81" s="1704"/>
      <c r="V81" s="1704"/>
      <c r="W81" s="1704"/>
    </row>
    <row r="82" spans="1:23" ht="17.25" customHeight="1">
      <c r="A82" s="270"/>
      <c r="B82" s="253"/>
      <c r="C82" s="2907">
        <v>16</v>
      </c>
      <c r="D82" s="2912" t="s">
        <v>1820</v>
      </c>
      <c r="E82" s="3111">
        <v>3</v>
      </c>
      <c r="F82" s="3112"/>
      <c r="G82" s="2909">
        <f>G81</f>
        <v>3.8</v>
      </c>
      <c r="H82" s="2913">
        <f>(C82*G82*E82/0.0338)/(100*E78)</f>
        <v>5.3964497041420119</v>
      </c>
      <c r="I82" s="2901" t="str">
        <f>E82*FIXED(C82*29.5735,0)&amp;"ml"</f>
        <v>1419ml</v>
      </c>
      <c r="J82" s="2533"/>
      <c r="K82" s="2486"/>
      <c r="L82" s="2486"/>
      <c r="M82" s="3056" t="s">
        <v>1014</v>
      </c>
      <c r="N82" s="3057"/>
      <c r="O82" s="1351">
        <v>15.2</v>
      </c>
      <c r="P82" s="1004">
        <f t="shared" si="0"/>
        <v>11.99888</v>
      </c>
      <c r="Q82" s="380"/>
      <c r="R82" s="380"/>
      <c r="S82" s="253"/>
      <c r="T82" s="253"/>
      <c r="U82" s="1704"/>
      <c r="V82" s="1704"/>
      <c r="W82" s="1704"/>
    </row>
    <row r="83" spans="1:23" ht="17.25" customHeight="1">
      <c r="A83" s="253"/>
      <c r="B83" s="253"/>
      <c r="C83" s="3124" t="s">
        <v>1480</v>
      </c>
      <c r="D83" s="3124"/>
      <c r="E83" s="3124"/>
      <c r="F83" s="3124"/>
      <c r="G83" s="3124"/>
      <c r="H83" s="3124"/>
      <c r="I83" s="3124"/>
      <c r="J83" s="2486"/>
      <c r="K83" s="2486"/>
      <c r="L83" s="2486"/>
      <c r="M83" s="3054" t="s">
        <v>1015</v>
      </c>
      <c r="N83" s="3055"/>
      <c r="O83" s="1351">
        <v>15.2</v>
      </c>
      <c r="P83" s="1004">
        <f t="shared" si="0"/>
        <v>11.99888</v>
      </c>
      <c r="Q83" s="380"/>
      <c r="R83" s="380"/>
      <c r="S83" s="253"/>
      <c r="T83" s="253"/>
      <c r="U83" s="1704"/>
      <c r="V83" s="1704"/>
      <c r="W83" s="1704"/>
    </row>
    <row r="84" spans="1:23" ht="17.25" customHeight="1">
      <c r="A84" s="253"/>
      <c r="B84" s="253"/>
      <c r="C84" s="3060" t="s">
        <v>1481</v>
      </c>
      <c r="D84" s="3060"/>
      <c r="E84" s="3060"/>
      <c r="F84" s="3060"/>
      <c r="G84" s="3060"/>
      <c r="H84" s="3060"/>
      <c r="I84" s="3060"/>
      <c r="J84" s="2486"/>
      <c r="K84" s="2486"/>
      <c r="L84" s="2486"/>
      <c r="M84" s="3056" t="s">
        <v>1016</v>
      </c>
      <c r="N84" s="3057"/>
      <c r="O84" s="1351">
        <v>12.7</v>
      </c>
      <c r="P84" s="1004">
        <f t="shared" si="0"/>
        <v>10.025379999999998</v>
      </c>
      <c r="Q84" s="380"/>
      <c r="R84" s="380"/>
      <c r="S84" s="253"/>
      <c r="T84" s="253"/>
      <c r="U84" s="1704"/>
      <c r="V84" s="1704"/>
      <c r="W84" s="1704"/>
    </row>
    <row r="85" spans="1:23" ht="17.25" customHeight="1">
      <c r="A85" s="253"/>
      <c r="B85" s="253"/>
      <c r="C85" s="3114" t="s">
        <v>153</v>
      </c>
      <c r="D85" s="3114"/>
      <c r="E85" s="3114"/>
      <c r="F85" s="3114"/>
      <c r="G85" s="3114"/>
      <c r="H85" s="3114"/>
      <c r="I85" s="3114"/>
      <c r="J85" s="249"/>
      <c r="K85" s="249"/>
      <c r="L85" s="249"/>
      <c r="M85" s="3056" t="s">
        <v>1017</v>
      </c>
      <c r="N85" s="3057"/>
      <c r="O85" s="1351">
        <v>21.5</v>
      </c>
      <c r="P85" s="1004">
        <f t="shared" si="0"/>
        <v>16.972099999999998</v>
      </c>
      <c r="Q85" s="380"/>
      <c r="R85" s="380"/>
      <c r="S85" s="253"/>
      <c r="T85" s="253"/>
      <c r="U85" s="1704"/>
      <c r="V85" s="1704"/>
      <c r="W85" s="1704"/>
    </row>
    <row r="86" spans="1:23" ht="17.25" customHeight="1">
      <c r="A86" s="253"/>
      <c r="B86" s="3061" t="s">
        <v>297</v>
      </c>
      <c r="C86" s="3061"/>
      <c r="D86" s="313"/>
      <c r="E86" s="313"/>
      <c r="F86" s="313"/>
      <c r="G86" s="313"/>
      <c r="H86" s="249"/>
      <c r="I86" s="249"/>
      <c r="J86" s="249"/>
      <c r="K86" s="249"/>
      <c r="L86" s="249"/>
      <c r="M86" s="3054" t="s">
        <v>1018</v>
      </c>
      <c r="N86" s="3055"/>
      <c r="O86" s="1351">
        <v>10</v>
      </c>
      <c r="P86" s="1004">
        <f t="shared" si="0"/>
        <v>7.8940000000000001</v>
      </c>
      <c r="Q86" s="380"/>
      <c r="R86" s="380"/>
      <c r="S86" s="253"/>
      <c r="T86" s="253"/>
      <c r="U86" s="1704"/>
      <c r="V86" s="1704"/>
      <c r="W86" s="1704"/>
    </row>
    <row r="87" spans="1:23" ht="17.25" customHeight="1">
      <c r="A87" s="264"/>
      <c r="B87" s="264"/>
      <c r="C87" s="1964"/>
      <c r="D87" s="314" t="s">
        <v>298</v>
      </c>
      <c r="E87" s="3062" t="s">
        <v>146</v>
      </c>
      <c r="F87" s="3062"/>
      <c r="G87" s="313"/>
      <c r="H87" s="335" t="s">
        <v>1026</v>
      </c>
      <c r="I87" s="335"/>
      <c r="J87" s="335"/>
      <c r="K87" s="335"/>
      <c r="L87" s="2486"/>
      <c r="M87" s="3056" t="s">
        <v>1020</v>
      </c>
      <c r="N87" s="3057"/>
      <c r="O87" s="1351">
        <v>12.7</v>
      </c>
      <c r="P87" s="1004">
        <f t="shared" si="0"/>
        <v>10.025379999999998</v>
      </c>
      <c r="Q87" s="380"/>
      <c r="R87" s="380"/>
      <c r="S87" s="253"/>
      <c r="T87" s="253"/>
      <c r="U87" s="1704"/>
      <c r="V87" s="1704"/>
      <c r="W87" s="1704"/>
    </row>
    <row r="88" spans="1:23" ht="17.25" customHeight="1">
      <c r="A88" s="264"/>
      <c r="B88" s="264"/>
      <c r="C88" s="2541" t="s">
        <v>301</v>
      </c>
      <c r="D88" s="317" t="s">
        <v>294</v>
      </c>
      <c r="E88" s="318" t="s">
        <v>299</v>
      </c>
      <c r="F88" s="319" t="s">
        <v>300</v>
      </c>
      <c r="G88" s="313"/>
      <c r="H88" s="323" t="s">
        <v>299</v>
      </c>
      <c r="I88" s="324" t="s">
        <v>300</v>
      </c>
      <c r="J88" s="258" t="s">
        <v>430</v>
      </c>
      <c r="K88" s="258" t="s">
        <v>294</v>
      </c>
      <c r="L88" s="2486"/>
      <c r="M88" s="3056" t="s">
        <v>1022</v>
      </c>
      <c r="N88" s="3057"/>
      <c r="O88" s="1351">
        <v>12.7</v>
      </c>
      <c r="P88" s="1004">
        <f t="shared" si="0"/>
        <v>10.025379999999998</v>
      </c>
      <c r="Q88" s="380"/>
      <c r="R88" s="380"/>
      <c r="S88" s="253"/>
      <c r="T88" s="253"/>
      <c r="U88" s="1704"/>
      <c r="V88" s="1704"/>
      <c r="W88" s="1704"/>
    </row>
    <row r="89" spans="1:23" ht="17.25" customHeight="1">
      <c r="A89" s="264"/>
      <c r="B89" s="253"/>
      <c r="C89" s="311"/>
      <c r="D89" s="1355">
        <v>1.75</v>
      </c>
      <c r="E89" s="310">
        <v>5</v>
      </c>
      <c r="F89" s="1356">
        <v>9</v>
      </c>
      <c r="G89" s="313"/>
      <c r="H89" s="297">
        <v>5</v>
      </c>
      <c r="I89" s="1357">
        <v>9</v>
      </c>
      <c r="J89" s="258">
        <f>(H89*12+I89)</f>
        <v>69</v>
      </c>
      <c r="K89" s="2209">
        <f>(H89*12+I89)*0.0254</f>
        <v>1.7525999999999999</v>
      </c>
      <c r="L89" s="2486"/>
      <c r="M89" s="3056" t="s">
        <v>1023</v>
      </c>
      <c r="N89" s="3057"/>
      <c r="O89" s="1351">
        <v>25</v>
      </c>
      <c r="P89" s="1004">
        <f t="shared" si="0"/>
        <v>19.734999999999999</v>
      </c>
      <c r="Q89" s="380"/>
      <c r="R89" s="380"/>
      <c r="S89" s="253"/>
      <c r="T89" s="253"/>
      <c r="U89" s="1704"/>
      <c r="V89" s="1704"/>
      <c r="W89" s="1704"/>
    </row>
    <row r="90" spans="1:23" ht="17.25" customHeight="1">
      <c r="A90" s="264"/>
      <c r="B90" s="253"/>
      <c r="C90" s="3058" t="s">
        <v>288</v>
      </c>
      <c r="D90" s="284" t="s">
        <v>296</v>
      </c>
      <c r="E90" s="320" t="s">
        <v>302</v>
      </c>
      <c r="F90" s="321" t="s">
        <v>295</v>
      </c>
      <c r="G90" s="313"/>
      <c r="H90" s="395" t="s">
        <v>167</v>
      </c>
      <c r="I90" s="249"/>
      <c r="J90" s="249"/>
      <c r="K90" s="249"/>
      <c r="L90" s="2486"/>
      <c r="M90" s="3056" t="s">
        <v>1024</v>
      </c>
      <c r="N90" s="3057"/>
      <c r="O90" s="1351">
        <v>12.5</v>
      </c>
      <c r="P90" s="1004">
        <f t="shared" si="0"/>
        <v>9.8674999999999997</v>
      </c>
      <c r="Q90" s="380"/>
      <c r="R90" s="380"/>
      <c r="S90" s="253"/>
      <c r="T90" s="253"/>
      <c r="U90" s="1704"/>
      <c r="V90" s="1704"/>
      <c r="W90" s="1704"/>
    </row>
    <row r="91" spans="1:23" ht="17.25" customHeight="1">
      <c r="A91" s="264"/>
      <c r="B91" s="253"/>
      <c r="C91" s="3058"/>
      <c r="D91" s="1355">
        <v>75</v>
      </c>
      <c r="E91" s="310">
        <v>11</v>
      </c>
      <c r="F91" s="1356">
        <v>7</v>
      </c>
      <c r="G91" s="313"/>
      <c r="H91" s="284" t="s">
        <v>294</v>
      </c>
      <c r="I91" s="258" t="s">
        <v>430</v>
      </c>
      <c r="J91" s="258" t="s">
        <v>1033</v>
      </c>
      <c r="K91" s="2616"/>
      <c r="L91" s="2486"/>
      <c r="M91" s="3054" t="s">
        <v>1025</v>
      </c>
      <c r="N91" s="3055"/>
      <c r="O91" s="1351">
        <v>12.7</v>
      </c>
      <c r="P91" s="1004">
        <f t="shared" si="0"/>
        <v>10.025379999999998</v>
      </c>
      <c r="Q91" s="380"/>
      <c r="R91" s="380"/>
      <c r="S91" s="253"/>
      <c r="T91" s="253"/>
      <c r="U91" s="1704"/>
      <c r="V91" s="1704"/>
      <c r="W91" s="1704"/>
    </row>
    <row r="92" spans="1:23" ht="17.25" customHeight="1">
      <c r="A92" s="253"/>
      <c r="B92" s="270"/>
      <c r="C92" s="322" t="s">
        <v>1028</v>
      </c>
      <c r="D92" s="295">
        <f>D91/(POWER(D89,2))</f>
        <v>24.489795918367346</v>
      </c>
      <c r="E92" s="3059">
        <f>W94/(POWER(W92,2))</f>
        <v>23.796665950819829</v>
      </c>
      <c r="F92" s="3059"/>
      <c r="G92" s="249"/>
      <c r="H92" s="261">
        <v>1.7529999999999999</v>
      </c>
      <c r="I92" s="258" t="str">
        <f>FIXED(H92*39.37,1)</f>
        <v>69.0</v>
      </c>
      <c r="J92" s="1008" t="str">
        <f>INT(H92*39.37/12)&amp;" ft  "&amp;FIXED(MOD(H92*39.37,12),1)&amp;""</f>
        <v>5 ft  9.0</v>
      </c>
      <c r="K92" s="2616"/>
      <c r="L92" s="2486"/>
      <c r="M92" s="3056" t="s">
        <v>1027</v>
      </c>
      <c r="N92" s="3057"/>
      <c r="O92" s="1351">
        <v>12.7</v>
      </c>
      <c r="P92" s="1004">
        <f t="shared" si="0"/>
        <v>10.025379999999998</v>
      </c>
      <c r="Q92" s="380"/>
      <c r="R92" s="380"/>
      <c r="S92" s="253"/>
      <c r="T92" s="253"/>
      <c r="U92" s="304">
        <f>E89*12+F89</f>
        <v>69</v>
      </c>
      <c r="V92" s="1003" t="s">
        <v>1030</v>
      </c>
      <c r="W92" s="325">
        <f>0.0254*U92</f>
        <v>1.7525999999999999</v>
      </c>
    </row>
    <row r="93" spans="1:23" ht="17.25" customHeight="1">
      <c r="A93" s="253"/>
      <c r="B93" s="270"/>
      <c r="C93" s="326" t="s">
        <v>967</v>
      </c>
      <c r="D93" s="3086" t="s">
        <v>954</v>
      </c>
      <c r="E93" s="3086"/>
      <c r="F93" s="3086"/>
      <c r="G93" s="288"/>
      <c r="H93" s="288"/>
      <c r="I93" s="288"/>
      <c r="J93" s="288"/>
      <c r="K93" s="288"/>
      <c r="L93" s="288"/>
      <c r="M93" s="3056" t="s">
        <v>1029</v>
      </c>
      <c r="N93" s="3057"/>
      <c r="O93" s="1351">
        <v>17.7</v>
      </c>
      <c r="P93" s="1004">
        <f t="shared" si="0"/>
        <v>13.972379999999999</v>
      </c>
      <c r="Q93" s="380"/>
      <c r="R93" s="380"/>
      <c r="S93" s="253"/>
      <c r="T93" s="253"/>
      <c r="U93" s="1704"/>
      <c r="V93" s="1704"/>
      <c r="W93" s="1704"/>
    </row>
    <row r="94" spans="1:23" ht="17.25" customHeight="1">
      <c r="A94" s="253"/>
      <c r="B94" s="270"/>
      <c r="C94" s="327" t="s">
        <v>965</v>
      </c>
      <c r="D94" s="3087" t="s">
        <v>955</v>
      </c>
      <c r="E94" s="3087"/>
      <c r="F94" s="3087"/>
      <c r="G94" s="288"/>
      <c r="H94" s="288"/>
      <c r="I94" s="288"/>
      <c r="J94" s="288"/>
      <c r="K94" s="288"/>
      <c r="L94" s="288"/>
      <c r="M94" s="3056" t="s">
        <v>1031</v>
      </c>
      <c r="N94" s="3057"/>
      <c r="O94" s="1351">
        <v>12.7</v>
      </c>
      <c r="P94" s="1004">
        <f t="shared" si="0"/>
        <v>10.025379999999998</v>
      </c>
      <c r="Q94" s="380"/>
      <c r="R94" s="380"/>
      <c r="S94" s="253"/>
      <c r="T94" s="253"/>
      <c r="U94" s="304">
        <f>14*E91+F91</f>
        <v>161</v>
      </c>
      <c r="V94" s="1003" t="s">
        <v>1032</v>
      </c>
      <c r="W94" s="325">
        <f>0.454*U94</f>
        <v>73.094000000000008</v>
      </c>
    </row>
    <row r="95" spans="1:23" ht="17.25" customHeight="1">
      <c r="A95" s="253"/>
      <c r="B95" s="253"/>
      <c r="C95" s="328" t="s">
        <v>964</v>
      </c>
      <c r="D95" s="3088" t="s">
        <v>956</v>
      </c>
      <c r="E95" s="3088"/>
      <c r="F95" s="3088"/>
      <c r="G95" s="2409"/>
      <c r="H95" s="288"/>
      <c r="I95" s="288"/>
      <c r="J95" s="288"/>
      <c r="K95" s="288"/>
      <c r="L95" s="288"/>
      <c r="M95" s="3056" t="s">
        <v>926</v>
      </c>
      <c r="N95" s="3057"/>
      <c r="O95" s="1351">
        <v>10</v>
      </c>
      <c r="P95" s="1004">
        <f t="shared" si="0"/>
        <v>7.8940000000000001</v>
      </c>
      <c r="Q95" s="380"/>
      <c r="R95" s="380"/>
      <c r="S95" s="253"/>
      <c r="T95" s="253"/>
      <c r="U95" s="1704"/>
      <c r="V95" s="1704"/>
      <c r="W95" s="1704"/>
    </row>
    <row r="96" spans="1:23" ht="17.25" customHeight="1">
      <c r="A96" s="253"/>
      <c r="B96" s="253"/>
      <c r="C96" s="329" t="s">
        <v>966</v>
      </c>
      <c r="D96" s="3077" t="s">
        <v>957</v>
      </c>
      <c r="E96" s="3077"/>
      <c r="F96" s="3077"/>
      <c r="G96" s="2409"/>
      <c r="H96" s="288"/>
      <c r="I96" s="288"/>
      <c r="J96" s="288"/>
      <c r="K96" s="288"/>
      <c r="L96" s="288"/>
      <c r="M96" s="3054" t="s">
        <v>1034</v>
      </c>
      <c r="N96" s="3055"/>
      <c r="O96" s="1352">
        <v>17.7</v>
      </c>
      <c r="P96" s="1004">
        <f t="shared" si="0"/>
        <v>13.972379999999999</v>
      </c>
      <c r="Q96" s="380"/>
      <c r="R96" s="380"/>
      <c r="S96" s="253"/>
      <c r="T96" s="253"/>
      <c r="U96" s="1704"/>
      <c r="V96" s="1704"/>
      <c r="W96" s="1704"/>
    </row>
    <row r="97" spans="1:23" ht="17.25" customHeight="1">
      <c r="A97" s="253"/>
      <c r="B97" s="253"/>
      <c r="C97" s="3080" t="s">
        <v>1036</v>
      </c>
      <c r="D97" s="3080"/>
      <c r="E97" s="3080"/>
      <c r="F97" s="3080"/>
      <c r="G97" s="2409"/>
      <c r="H97" s="288"/>
      <c r="I97" s="288"/>
      <c r="J97" s="288"/>
      <c r="K97" s="288"/>
      <c r="L97" s="288"/>
      <c r="M97" s="3078" t="s">
        <v>1035</v>
      </c>
      <c r="N97" s="3079"/>
      <c r="O97" s="1352">
        <v>0</v>
      </c>
      <c r="P97" s="1004">
        <f t="shared" si="0"/>
        <v>0</v>
      </c>
      <c r="Q97" s="380"/>
      <c r="R97" s="380"/>
      <c r="S97" s="253"/>
      <c r="T97" s="253"/>
      <c r="U97" s="1704"/>
      <c r="V97" s="1704"/>
      <c r="W97" s="1704"/>
    </row>
    <row r="98" spans="1:23" ht="17.25" customHeight="1">
      <c r="A98" s="253"/>
      <c r="B98" s="253"/>
      <c r="C98" s="253"/>
      <c r="D98" s="253"/>
      <c r="E98" s="253"/>
      <c r="F98" s="253"/>
      <c r="G98" s="2486"/>
      <c r="H98" s="288"/>
      <c r="I98" s="288"/>
      <c r="J98" s="288"/>
      <c r="K98" s="288"/>
      <c r="L98" s="288"/>
      <c r="M98" s="3078" t="s">
        <v>1037</v>
      </c>
      <c r="N98" s="3079"/>
      <c r="O98" s="1352">
        <v>0</v>
      </c>
      <c r="P98" s="1004">
        <f t="shared" si="0"/>
        <v>0</v>
      </c>
      <c r="Q98" s="380"/>
      <c r="R98" s="380"/>
      <c r="S98" s="253"/>
      <c r="T98" s="253"/>
      <c r="U98" s="1704"/>
      <c r="V98" s="1704"/>
      <c r="W98" s="1704"/>
    </row>
    <row r="99" spans="1:23" ht="17.25" customHeight="1">
      <c r="A99" s="253"/>
      <c r="B99" s="3081" t="s">
        <v>1019</v>
      </c>
      <c r="C99" s="3081"/>
      <c r="D99" s="3081"/>
      <c r="E99" s="3081"/>
      <c r="F99" s="3081"/>
      <c r="G99" s="3081"/>
      <c r="H99" s="249"/>
      <c r="I99" s="249"/>
      <c r="J99" s="249"/>
      <c r="K99" s="249"/>
      <c r="L99" s="249"/>
      <c r="M99" s="3078" t="s">
        <v>1038</v>
      </c>
      <c r="N99" s="3079"/>
      <c r="O99" s="1353">
        <v>0</v>
      </c>
      <c r="P99" s="330">
        <f t="shared" si="0"/>
        <v>0</v>
      </c>
      <c r="Q99" s="380"/>
      <c r="R99" s="380"/>
      <c r="S99" s="253"/>
      <c r="T99" s="253"/>
      <c r="U99" s="1704"/>
      <c r="V99" s="1704"/>
      <c r="W99" s="1704"/>
    </row>
    <row r="100" spans="1:23" ht="17.25" customHeight="1">
      <c r="A100" s="253"/>
      <c r="B100" s="315"/>
      <c r="C100" s="316"/>
      <c r="D100" s="2490" t="s">
        <v>152</v>
      </c>
      <c r="E100" s="3071" t="s">
        <v>1021</v>
      </c>
      <c r="F100" s="3072"/>
      <c r="G100" s="3072"/>
      <c r="H100" s="249"/>
      <c r="I100" s="249"/>
      <c r="J100" s="249"/>
      <c r="K100" s="249"/>
      <c r="L100" s="249"/>
      <c r="M100" s="3082" t="s">
        <v>1754</v>
      </c>
      <c r="N100" s="3083"/>
      <c r="O100" s="3069" t="s">
        <v>1039</v>
      </c>
      <c r="P100" s="3070"/>
      <c r="Q100" s="380"/>
      <c r="R100" s="380"/>
      <c r="S100" s="253"/>
      <c r="T100" s="253"/>
      <c r="U100" s="1704"/>
      <c r="V100" s="1704"/>
      <c r="W100" s="1704"/>
    </row>
    <row r="101" spans="1:23" ht="17.25" customHeight="1">
      <c r="A101" s="253"/>
      <c r="B101" s="315"/>
      <c r="C101" s="316"/>
      <c r="D101" s="261">
        <v>3.8</v>
      </c>
      <c r="E101" s="3073" t="str">
        <f>FIXED((-0.00074*(2*D101)^2.1-0.182*D101*2),1)&amp;"°C ("&amp;FIXED(((((-0.00074*(2*D101)^2.1-0.182*D101*2)+40)*9/5)-40),0)&amp;"°F)"</f>
        <v>-1.4°C (29°F)</v>
      </c>
      <c r="F101" s="3073"/>
      <c r="G101" s="3074"/>
      <c r="H101" s="249"/>
      <c r="I101" s="249"/>
      <c r="J101" s="249"/>
      <c r="K101" s="249"/>
      <c r="L101" s="249"/>
      <c r="M101" s="3084"/>
      <c r="N101" s="3085"/>
      <c r="O101" s="1354">
        <v>789.4</v>
      </c>
      <c r="P101" s="1007" t="s">
        <v>1495</v>
      </c>
      <c r="Q101" s="380"/>
      <c r="R101" s="380"/>
      <c r="S101" s="253"/>
      <c r="T101" s="331"/>
      <c r="U101" s="1704"/>
      <c r="V101" s="1704"/>
      <c r="W101" s="1704"/>
    </row>
    <row r="102" spans="1:23" ht="17.25" customHeight="1">
      <c r="A102" s="253"/>
      <c r="B102" s="253"/>
      <c r="C102" s="248"/>
      <c r="D102" s="3076" t="s">
        <v>1514</v>
      </c>
      <c r="E102" s="3076"/>
      <c r="F102" s="3076"/>
      <c r="G102" s="3076"/>
      <c r="H102" s="249"/>
      <c r="I102" s="249"/>
      <c r="J102" s="249"/>
      <c r="K102" s="249"/>
      <c r="L102" s="249"/>
      <c r="M102" s="249"/>
      <c r="N102" s="313"/>
      <c r="O102" s="332"/>
      <c r="P102" s="332"/>
      <c r="Q102" s="3075" t="s">
        <v>1040</v>
      </c>
      <c r="R102" s="3075"/>
      <c r="S102" s="3075"/>
      <c r="T102" s="331"/>
      <c r="U102" s="1704"/>
      <c r="V102" s="1704"/>
      <c r="W102" s="1704"/>
    </row>
    <row r="103" spans="1:23" ht="17.25" customHeight="1">
      <c r="A103" s="253"/>
      <c r="B103" s="253"/>
      <c r="C103" s="253"/>
      <c r="D103" s="253"/>
      <c r="E103" s="253"/>
      <c r="F103" s="253"/>
      <c r="G103" s="253"/>
      <c r="H103" s="253"/>
      <c r="I103" s="253"/>
      <c r="J103" s="253"/>
      <c r="K103" s="253"/>
      <c r="L103" s="333"/>
      <c r="M103" s="249"/>
      <c r="N103" s="336"/>
      <c r="O103" s="2488"/>
      <c r="P103" s="2488"/>
      <c r="Q103" s="3066" t="s">
        <v>976</v>
      </c>
      <c r="R103" s="3066"/>
      <c r="S103" s="3066"/>
      <c r="T103" s="2489"/>
      <c r="U103" s="1704"/>
      <c r="V103" s="1704"/>
      <c r="W103" s="1704"/>
    </row>
    <row r="104" spans="1:23" ht="17.25" customHeight="1">
      <c r="A104" s="253"/>
      <c r="B104" s="3064" t="s">
        <v>1176</v>
      </c>
      <c r="C104" s="3064"/>
      <c r="D104" s="3064"/>
      <c r="E104" s="3064"/>
      <c r="F104" s="3064"/>
      <c r="G104" s="3064"/>
      <c r="H104" s="253"/>
      <c r="I104" s="253"/>
      <c r="J104" s="253"/>
      <c r="K104" s="253"/>
      <c r="L104" s="333"/>
      <c r="M104" s="3063" t="s">
        <v>374</v>
      </c>
      <c r="N104" s="3063"/>
      <c r="O104" s="3063"/>
      <c r="P104" s="3063"/>
      <c r="Q104" s="334" t="s">
        <v>376</v>
      </c>
      <c r="R104" s="334"/>
      <c r="S104" s="334"/>
      <c r="T104" s="334"/>
      <c r="U104" s="1704"/>
      <c r="V104" s="1704"/>
      <c r="W104" s="1704"/>
    </row>
    <row r="105" spans="1:23">
      <c r="A105" s="253"/>
      <c r="B105" s="253"/>
      <c r="C105" s="253"/>
      <c r="D105" s="253"/>
      <c r="E105" s="253"/>
      <c r="F105" s="253"/>
      <c r="G105" s="253"/>
      <c r="H105" s="253"/>
      <c r="I105" s="253"/>
      <c r="J105" s="253"/>
      <c r="K105" s="253"/>
      <c r="L105" s="253"/>
      <c r="M105" s="3065" t="s">
        <v>168</v>
      </c>
      <c r="N105" s="3065"/>
      <c r="O105" s="3065"/>
      <c r="P105" s="3065"/>
      <c r="Q105" s="3066" t="s">
        <v>157</v>
      </c>
      <c r="R105" s="3066"/>
      <c r="S105" s="3066"/>
      <c r="T105" s="253"/>
      <c r="U105" s="1704"/>
      <c r="V105" s="1704"/>
      <c r="W105" s="1704"/>
    </row>
    <row r="106" spans="1:23">
      <c r="A106" s="253"/>
      <c r="B106" s="253"/>
      <c r="C106" s="253"/>
      <c r="D106" s="253"/>
      <c r="E106" s="253"/>
      <c r="F106" s="253"/>
      <c r="G106" s="253"/>
      <c r="H106" s="253"/>
      <c r="I106" s="253"/>
      <c r="J106" s="253"/>
      <c r="K106" s="253"/>
      <c r="L106" s="253"/>
      <c r="M106" s="253"/>
      <c r="N106" s="253"/>
      <c r="O106" s="253"/>
      <c r="P106" s="253"/>
      <c r="Q106" s="253"/>
      <c r="R106" s="253"/>
      <c r="S106" s="253"/>
      <c r="T106" s="253"/>
    </row>
  </sheetData>
  <sheetProtection password="FA80" sheet="1" objects="1" scenarios="1"/>
  <mergeCells count="126">
    <mergeCell ref="C79:D79"/>
    <mergeCell ref="E79:F79"/>
    <mergeCell ref="E80:F80"/>
    <mergeCell ref="E81:F81"/>
    <mergeCell ref="E82:F82"/>
    <mergeCell ref="C78:D78"/>
    <mergeCell ref="C85:I85"/>
    <mergeCell ref="D49:F49"/>
    <mergeCell ref="D47:F47"/>
    <mergeCell ref="H47:N48"/>
    <mergeCell ref="H49:N49"/>
    <mergeCell ref="M81:N81"/>
    <mergeCell ref="M82:N82"/>
    <mergeCell ref="M83:N83"/>
    <mergeCell ref="M79:N79"/>
    <mergeCell ref="M80:N80"/>
    <mergeCell ref="C83:I83"/>
    <mergeCell ref="E73:F73"/>
    <mergeCell ref="H73:J73"/>
    <mergeCell ref="L71:R72"/>
    <mergeCell ref="E74:K74"/>
    <mergeCell ref="M77:N78"/>
    <mergeCell ref="O77:P77"/>
    <mergeCell ref="B77:C77"/>
    <mergeCell ref="L44:M44"/>
    <mergeCell ref="D39:H39"/>
    <mergeCell ref="L41:M41"/>
    <mergeCell ref="D40:E40"/>
    <mergeCell ref="D36:E36"/>
    <mergeCell ref="D37:E37"/>
    <mergeCell ref="D41:E41"/>
    <mergeCell ref="D42:E42"/>
    <mergeCell ref="L42:M42"/>
    <mergeCell ref="L43:M43"/>
    <mergeCell ref="G40:I42"/>
    <mergeCell ref="G35:I36"/>
    <mergeCell ref="M104:P104"/>
    <mergeCell ref="B104:G104"/>
    <mergeCell ref="M105:P105"/>
    <mergeCell ref="Q105:S105"/>
    <mergeCell ref="D35:E35"/>
    <mergeCell ref="O100:P100"/>
    <mergeCell ref="E100:G100"/>
    <mergeCell ref="E101:G101"/>
    <mergeCell ref="Q102:S102"/>
    <mergeCell ref="D102:G102"/>
    <mergeCell ref="Q103:S103"/>
    <mergeCell ref="D96:F96"/>
    <mergeCell ref="M97:N97"/>
    <mergeCell ref="C97:F97"/>
    <mergeCell ref="M98:N98"/>
    <mergeCell ref="M99:N99"/>
    <mergeCell ref="B99:G99"/>
    <mergeCell ref="M100:N101"/>
    <mergeCell ref="D93:F93"/>
    <mergeCell ref="M94:N94"/>
    <mergeCell ref="D94:F94"/>
    <mergeCell ref="M95:N95"/>
    <mergeCell ref="D95:F95"/>
    <mergeCell ref="D48:F48"/>
    <mergeCell ref="M96:N96"/>
    <mergeCell ref="M89:N89"/>
    <mergeCell ref="M90:N90"/>
    <mergeCell ref="C90:C91"/>
    <mergeCell ref="M91:N91"/>
    <mergeCell ref="M92:N92"/>
    <mergeCell ref="E92:F92"/>
    <mergeCell ref="M93:N93"/>
    <mergeCell ref="C84:I84"/>
    <mergeCell ref="M85:N85"/>
    <mergeCell ref="M86:N86"/>
    <mergeCell ref="B86:C86"/>
    <mergeCell ref="M87:N87"/>
    <mergeCell ref="E87:F87"/>
    <mergeCell ref="M88:N88"/>
    <mergeCell ref="M84:N84"/>
    <mergeCell ref="O78:P78"/>
    <mergeCell ref="E54:F54"/>
    <mergeCell ref="K54:L54"/>
    <mergeCell ref="H64:J64"/>
    <mergeCell ref="O64:S64"/>
    <mergeCell ref="B70:C70"/>
    <mergeCell ref="E70:K70"/>
    <mergeCell ref="E71:F71"/>
    <mergeCell ref="H71:J71"/>
    <mergeCell ref="E72:F72"/>
    <mergeCell ref="H72:J72"/>
    <mergeCell ref="B61:C61"/>
    <mergeCell ref="M61:O61"/>
    <mergeCell ref="D55:M57"/>
    <mergeCell ref="D58:M58"/>
    <mergeCell ref="B67:R67"/>
    <mergeCell ref="N51:R51"/>
    <mergeCell ref="B52:C52"/>
    <mergeCell ref="E52:F52"/>
    <mergeCell ref="K52:L52"/>
    <mergeCell ref="N52:R53"/>
    <mergeCell ref="E53:F53"/>
    <mergeCell ref="K53:L53"/>
    <mergeCell ref="B51:C51"/>
    <mergeCell ref="E51:F51"/>
    <mergeCell ref="K51:L51"/>
    <mergeCell ref="P42:R42"/>
    <mergeCell ref="Q1:S1"/>
    <mergeCell ref="Q2:S2"/>
    <mergeCell ref="B3:C4"/>
    <mergeCell ref="Q3:S3"/>
    <mergeCell ref="Q4:S4"/>
    <mergeCell ref="E24:I24"/>
    <mergeCell ref="C26:D26"/>
    <mergeCell ref="A1:C1"/>
    <mergeCell ref="H1:J1"/>
    <mergeCell ref="B33:N33"/>
    <mergeCell ref="D34:F34"/>
    <mergeCell ref="L34:M34"/>
    <mergeCell ref="L35:M35"/>
    <mergeCell ref="G30:H30"/>
    <mergeCell ref="J30:L30"/>
    <mergeCell ref="D30:E30"/>
    <mergeCell ref="B34:C34"/>
    <mergeCell ref="O35:R37"/>
    <mergeCell ref="L36:M36"/>
    <mergeCell ref="L37:M37"/>
    <mergeCell ref="L38:M38"/>
    <mergeCell ref="L39:M39"/>
    <mergeCell ref="L40:M40"/>
  </mergeCells>
  <conditionalFormatting sqref="D92">
    <cfRule type="cellIs" dxfId="42" priority="26" stopIfTrue="1" operator="between">
      <formula>20</formula>
      <formula>25</formula>
    </cfRule>
    <cfRule type="cellIs" dxfId="41" priority="27" stopIfTrue="1" operator="between">
      <formula>25</formula>
      <formula>30</formula>
    </cfRule>
    <cfRule type="cellIs" dxfId="40" priority="28" stopIfTrue="1" operator="greaterThanOrEqual">
      <formula>30</formula>
    </cfRule>
  </conditionalFormatting>
  <conditionalFormatting sqref="E92:F92">
    <cfRule type="cellIs" dxfId="39" priority="23" stopIfTrue="1" operator="between">
      <formula>20</formula>
      <formula>25</formula>
    </cfRule>
    <cfRule type="cellIs" dxfId="38" priority="24" stopIfTrue="1" operator="between">
      <formula>25</formula>
      <formula>30</formula>
    </cfRule>
    <cfRule type="cellIs" dxfId="37" priority="25" stopIfTrue="1" operator="greaterThanOrEqual">
      <formula>30</formula>
    </cfRule>
  </conditionalFormatting>
  <conditionalFormatting sqref="J62 R62 G65 N65">
    <cfRule type="cellIs" dxfId="36" priority="22" stopIfTrue="1" operator="greaterThan">
      <formula>200</formula>
    </cfRule>
  </conditionalFormatting>
  <conditionalFormatting sqref="E62 P62 F65 M65">
    <cfRule type="cellIs" dxfId="35" priority="21" stopIfTrue="1" operator="greaterThan">
      <formula>175</formula>
    </cfRule>
  </conditionalFormatting>
  <conditionalFormatting sqref="G52:G53 M52:M53 D54 J54">
    <cfRule type="cellIs" dxfId="34" priority="20" stopIfTrue="1" operator="lessThan">
      <formula>0</formula>
    </cfRule>
  </conditionalFormatting>
  <conditionalFormatting sqref="F41">
    <cfRule type="cellIs" dxfId="33" priority="19" stopIfTrue="1" operator="lessThan">
      <formula>0</formula>
    </cfRule>
  </conditionalFormatting>
  <conditionalFormatting sqref="N38">
    <cfRule type="cellIs" dxfId="32" priority="18" stopIfTrue="1" operator="notEqual">
      <formula>#REF!</formula>
    </cfRule>
  </conditionalFormatting>
  <conditionalFormatting sqref="N38">
    <cfRule type="cellIs" dxfId="31" priority="17" operator="notEqual">
      <formula>#REF!</formula>
    </cfRule>
  </conditionalFormatting>
  <conditionalFormatting sqref="K36">
    <cfRule type="cellIs" dxfId="30" priority="16" operator="notEqual">
      <formula>K35</formula>
    </cfRule>
  </conditionalFormatting>
  <conditionalFormatting sqref="K36">
    <cfRule type="cellIs" dxfId="29" priority="15" operator="notEqual">
      <formula>K35</formula>
    </cfRule>
  </conditionalFormatting>
  <conditionalFormatting sqref="K41">
    <cfRule type="cellIs" dxfId="28" priority="14" operator="notEqual">
      <formula>K40</formula>
    </cfRule>
  </conditionalFormatting>
  <conditionalFormatting sqref="K41">
    <cfRule type="cellIs" dxfId="27" priority="13" operator="notEqual">
      <formula>K40</formula>
    </cfRule>
  </conditionalFormatting>
  <conditionalFormatting sqref="N36">
    <cfRule type="cellIs" dxfId="26" priority="12" stopIfTrue="1" operator="notEqual">
      <formula>N35</formula>
    </cfRule>
  </conditionalFormatting>
  <conditionalFormatting sqref="N36">
    <cfRule type="cellIs" dxfId="25" priority="11" operator="notEqual">
      <formula>N35</formula>
    </cfRule>
  </conditionalFormatting>
  <conditionalFormatting sqref="N36">
    <cfRule type="cellIs" dxfId="24" priority="10" stopIfTrue="1" operator="notEqual">
      <formula>N35</formula>
    </cfRule>
  </conditionalFormatting>
  <conditionalFormatting sqref="N36">
    <cfRule type="cellIs" dxfId="23" priority="9" operator="notEqual">
      <formula>N35</formula>
    </cfRule>
  </conditionalFormatting>
  <conditionalFormatting sqref="N36">
    <cfRule type="cellIs" dxfId="22" priority="8" stopIfTrue="1" operator="notEqual">
      <formula>N35</formula>
    </cfRule>
  </conditionalFormatting>
  <conditionalFormatting sqref="N36">
    <cfRule type="cellIs" dxfId="21" priority="7" operator="notEqual">
      <formula>N35</formula>
    </cfRule>
  </conditionalFormatting>
  <conditionalFormatting sqref="N41">
    <cfRule type="cellIs" dxfId="20" priority="6" stopIfTrue="1" operator="notEqual">
      <formula>N40</formula>
    </cfRule>
  </conditionalFormatting>
  <conditionalFormatting sqref="N41">
    <cfRule type="cellIs" dxfId="19" priority="5" operator="notEqual">
      <formula>N40</formula>
    </cfRule>
  </conditionalFormatting>
  <conditionalFormatting sqref="N41">
    <cfRule type="cellIs" dxfId="18" priority="4" stopIfTrue="1" operator="notEqual">
      <formula>N40</formula>
    </cfRule>
  </conditionalFormatting>
  <conditionalFormatting sqref="N41">
    <cfRule type="cellIs" dxfId="17" priority="3" operator="notEqual">
      <formula>N40</formula>
    </cfRule>
  </conditionalFormatting>
  <conditionalFormatting sqref="N41">
    <cfRule type="cellIs" dxfId="16" priority="2" stopIfTrue="1" operator="notEqual">
      <formula>N40</formula>
    </cfRule>
  </conditionalFormatting>
  <conditionalFormatting sqref="N41">
    <cfRule type="cellIs" dxfId="15" priority="1" operator="notEqual">
      <formula>N40</formula>
    </cfRule>
  </conditionalFormatting>
  <hyperlinks>
    <hyperlink ref="Q2" r:id="rId1"/>
    <hyperlink ref="Q3" r:id="rId2"/>
    <hyperlink ref="T3" r:id="rId3" display="www.PetesPintPot.co.uk"/>
    <hyperlink ref="L51" location="'General Calc's'!G51" display="using the simpler &quot;brewers degrees&quot;"/>
    <hyperlink ref="J56" location="'General Calc's'!C24" display="See Temperature Converter"/>
    <hyperlink ref="K57" location="'General Calc's'!C24" display="See Temperature Converter"/>
    <hyperlink ref="L57" location="'General Calc's'!C24" display="See Temperature Converter"/>
    <hyperlink ref="R102" r:id="rId4" display="david.barrow@live.co.uk"/>
    <hyperlink ref="Q103" r:id="rId5"/>
    <hyperlink ref="R103" r:id="rId6" display="www.yobrew.co.uk"/>
    <hyperlink ref="P104" r:id="rId7" display="www.signaturewinesofohio.com"/>
    <hyperlink ref="Q104" r:id="rId8"/>
    <hyperlink ref="R104" r:id="rId9" display="david.barrow@live.co.uk"/>
    <hyperlink ref="P105" location="'Wine Calc'!G68" display="Priming Ciders &amp; Sparkling Wines"/>
    <hyperlink ref="Q105" r:id="rId10"/>
    <hyperlink ref="R105" r:id="rId11" display="www.yobrew.co.uk"/>
    <hyperlink ref="K70" location="'Beer Kit Calc's'!Y5" display="'Beer Kit Calc's'!Y5"/>
    <hyperlink ref="C51" location="'Beer Kit Calc's'!A90" display="EBC (Colour, if known)"/>
    <hyperlink ref="C52" location="'Beer Kit Calc's'!K23" display="Hop extract added (ml)"/>
    <hyperlink ref="N81" location="'Extract Calc'!AW3" display="'Extract Calc'!AW3"/>
    <hyperlink ref="H57" location="'Beer Scaling Calc'!C4" display="% See cell C4"/>
    <hyperlink ref="V104" r:id="rId12" display="www.PetesPintPot.co.uk"/>
    <hyperlink ref="V105" r:id="rId13" display="david.barrow@live.co.uk"/>
    <hyperlink ref="R58" location="'Wine Calc'!S48" display="When adding water (see cell S48) to a recipe, always err on the side caution as you can add more later if required. The converse is rather more difficult!"/>
    <hyperlink ref="K60" location="Primer!D1" display="For more information see the &quot;Primer&quot; page."/>
    <hyperlink ref="N80" location="'Extract Calc'!AW3" display="'Extract Calc'!AW3"/>
    <hyperlink ref="T59" location="'Beer Data Sheet'!P20" display="=&quot;1 level 5ml tsp sugar = &quot;&amp;'Beer Data Sheet'!P20&amp;&quot;g&quot;"/>
    <hyperlink ref="H56" location="'Beer Scaling Calc'!C4" display="% See cell C4"/>
    <hyperlink ref="M62" location="'Beer Data Sheet'!P20" display="=&quot;1 level 5ml tsp sugar = &quot;&amp;'Beer Data Sheet'!P20&amp;&quot;g&quot;"/>
    <hyperlink ref="U104" r:id="rId14" location="PIGGY-BACK%20" display="www.petespintpot.co.uk/index.html#PIGGY-BACK "/>
    <hyperlink ref="V93" location="'Beer Kit Calc's'!Y5" display="'Beer Kit Calc's'!Y5"/>
    <hyperlink ref="F34" location="'Primer'!D1" display="Priming Calc's. For Beers Etc."/>
    <hyperlink ref="I51" location="'General Calc''s'!M55" display="OR "/>
    <hyperlink ref="J58" location="'General Calc's'!G48" display="OR "/>
    <hyperlink ref="G58" r:id="rId15" display="www.petespintpot.co.uk/health.html "/>
    <hyperlink ref="N61" r:id="rId16" display="www.petespintpot.co.uk/diabetic.html "/>
    <hyperlink ref="C80" r:id="rId17" display="http://www.yobrew.co.uk/"/>
    <hyperlink ref="I84" location="'General Calc's'!G51" display="using the simpler &quot;brewers degrees&quot;"/>
    <hyperlink ref="H85" location="'Beer Data Sheet'!N15" display="See &quot;Beer Data Sheet&quot; cells N15 etc. for the Isomerised hop extract settings."/>
    <hyperlink ref="H84" location="'Beer Data Sheet'!N15" display="See &quot;Beer Data Sheet&quot; cells N15 etc. for the Isomerised hop extract settings."/>
  </hyperlinks>
  <printOptions horizontalCentered="1"/>
  <pageMargins left="0.51181102362204722" right="0.51181102362204722" top="0.39370078740157483" bottom="0.70866141732283472" header="0.31496062992125984" footer="0.35433070866141736"/>
  <pageSetup paperSize="9" scale="45" orientation="portrait" verticalDpi="300" r:id="rId18"/>
  <colBreaks count="1" manualBreakCount="1">
    <brk id="19" max="1048575" man="1"/>
  </colBreaks>
  <drawing r:id="rId19"/>
</worksheet>
</file>

<file path=xl/worksheets/sheet3.xml><?xml version="1.0" encoding="utf-8"?>
<worksheet xmlns="http://schemas.openxmlformats.org/spreadsheetml/2006/main" xmlns:r="http://schemas.openxmlformats.org/officeDocument/2006/relationships">
  <sheetPr>
    <tabColor indexed="52"/>
    <pageSetUpPr fitToPage="1"/>
  </sheetPr>
  <dimension ref="A1:BC157"/>
  <sheetViews>
    <sheetView zoomScale="75" zoomScaleNormal="75" zoomScaleSheetLayoutView="75" workbookViewId="0">
      <pane ySplit="18" topLeftCell="A35" activePane="bottomLeft" state="frozen"/>
      <selection pane="bottomLeft" activeCell="E73" sqref="E73:H73"/>
    </sheetView>
  </sheetViews>
  <sheetFormatPr defaultColWidth="10.85546875" defaultRowHeight="15"/>
  <cols>
    <col min="1" max="1" width="1" style="2109" customWidth="1"/>
    <col min="2" max="2" width="4.140625" style="2109" customWidth="1"/>
    <col min="3" max="3" width="22.85546875" style="2109" customWidth="1"/>
    <col min="4" max="5" width="7.85546875" style="2109" customWidth="1"/>
    <col min="6" max="8" width="8.7109375" style="2109" customWidth="1"/>
    <col min="9" max="9" width="21" style="2109" customWidth="1"/>
    <col min="10" max="10" width="9.85546875" style="2109" customWidth="1"/>
    <col min="11" max="12" width="9" style="2109" customWidth="1"/>
    <col min="13" max="13" width="9.140625" style="2109" customWidth="1"/>
    <col min="14" max="16" width="9" style="2109" customWidth="1"/>
    <col min="17" max="19" width="9.42578125" style="2109" customWidth="1"/>
    <col min="20" max="20" width="2.42578125" style="2109" customWidth="1"/>
    <col min="21" max="21" width="4.28515625" style="2109" customWidth="1"/>
    <col min="22" max="22" width="1.7109375" style="2109" customWidth="1"/>
    <col min="23" max="23" width="1.28515625" style="2109" customWidth="1"/>
    <col min="24" max="24" width="7.7109375" style="2109" hidden="1" customWidth="1"/>
    <col min="25" max="25" width="3.5703125" style="2109" hidden="1" customWidth="1"/>
    <col min="26" max="27" width="7.7109375" style="2109" hidden="1" customWidth="1"/>
    <col min="28" max="28" width="11.28515625" style="2109" hidden="1" customWidth="1"/>
    <col min="29" max="29" width="8" style="2109" hidden="1" customWidth="1"/>
    <col min="30" max="30" width="8.140625" style="2109" hidden="1" customWidth="1"/>
    <col min="31" max="33" width="7.7109375" style="2109" hidden="1" customWidth="1"/>
    <col min="34" max="34" width="8" style="2109" hidden="1" customWidth="1"/>
    <col min="35" max="35" width="6.28515625" style="2109" hidden="1" customWidth="1"/>
    <col min="36" max="36" width="8" style="2109" hidden="1" customWidth="1"/>
    <col min="37" max="43" width="6.42578125" style="2109" hidden="1" customWidth="1"/>
    <col min="44" max="44" width="5.85546875" style="2109" hidden="1" customWidth="1"/>
    <col min="45" max="45" width="21.5703125" style="2109" customWidth="1"/>
    <col min="46" max="46" width="7" style="2109" customWidth="1"/>
    <col min="47" max="47" width="0.42578125" style="2109" customWidth="1"/>
    <col min="48" max="48" width="7.140625" style="2109" customWidth="1"/>
    <col min="49" max="49" width="7" style="2109" customWidth="1"/>
    <col min="50" max="50" width="0.42578125" style="2109" customWidth="1"/>
    <col min="51" max="52" width="6.85546875" style="2109" customWidth="1"/>
    <col min="53" max="53" width="0.42578125" style="2109" customWidth="1"/>
    <col min="54" max="54" width="6.42578125" style="2109" customWidth="1"/>
    <col min="55" max="55" width="4" style="2109" customWidth="1"/>
    <col min="56" max="16384" width="10.85546875" style="1711"/>
  </cols>
  <sheetData>
    <row r="1" spans="1:55" s="1" customFormat="1" ht="20.25">
      <c r="A1" s="3413" t="s">
        <v>1799</v>
      </c>
      <c r="B1" s="3413"/>
      <c r="C1" s="3413"/>
      <c r="D1" s="346"/>
      <c r="E1" s="346"/>
      <c r="F1" s="346"/>
      <c r="G1" s="346"/>
      <c r="H1" s="346"/>
      <c r="I1" s="3414" t="s">
        <v>1606</v>
      </c>
      <c r="J1" s="3414"/>
      <c r="K1" s="3414"/>
      <c r="L1" s="3414"/>
      <c r="M1" s="3414"/>
      <c r="N1" s="1161"/>
      <c r="O1" s="346"/>
      <c r="P1" s="346"/>
      <c r="Q1" s="346"/>
      <c r="R1" s="2520"/>
      <c r="S1" s="3415" t="s">
        <v>1798</v>
      </c>
      <c r="T1" s="3415"/>
      <c r="U1" s="3415"/>
      <c r="V1" s="3415"/>
      <c r="W1" s="2107"/>
      <c r="X1" s="572"/>
      <c r="Y1" s="572"/>
      <c r="Z1" s="573"/>
      <c r="AA1" s="573"/>
      <c r="AB1" s="573"/>
      <c r="AC1" s="573"/>
      <c r="AD1" s="573"/>
      <c r="AE1" s="573"/>
      <c r="AF1" s="573"/>
      <c r="AG1" s="573"/>
      <c r="AH1" s="573"/>
      <c r="AI1" s="573"/>
      <c r="AJ1" s="573"/>
      <c r="AK1" s="573"/>
      <c r="AL1" s="573"/>
      <c r="AM1" s="573"/>
      <c r="AN1" s="573"/>
      <c r="AO1" s="573"/>
      <c r="AP1" s="573"/>
      <c r="AQ1" s="573"/>
      <c r="AR1" s="573"/>
      <c r="AS1" s="1051"/>
      <c r="AT1" s="1051"/>
      <c r="AU1" s="1051"/>
      <c r="AV1" s="1051"/>
      <c r="AW1" s="1051"/>
      <c r="AX1" s="1051"/>
      <c r="AY1" s="1051"/>
      <c r="AZ1" s="1051"/>
      <c r="BA1" s="1051"/>
      <c r="BB1" s="1051"/>
      <c r="BC1" s="2486"/>
    </row>
    <row r="2" spans="1:55" s="1" customFormat="1" ht="12.75" customHeight="1">
      <c r="A2" s="2580"/>
      <c r="B2" s="2580"/>
      <c r="C2" s="2580"/>
      <c r="D2" s="2514"/>
      <c r="E2" s="2514"/>
      <c r="F2" s="43"/>
      <c r="G2" s="347"/>
      <c r="H2" s="347"/>
      <c r="I2" s="347"/>
      <c r="J2" s="31"/>
      <c r="K2" s="348"/>
      <c r="L2" s="2514"/>
      <c r="M2" s="2514"/>
      <c r="N2" s="59"/>
      <c r="O2" s="59"/>
      <c r="P2" s="59"/>
      <c r="Q2" s="59"/>
      <c r="R2" s="3416" t="s">
        <v>163</v>
      </c>
      <c r="S2" s="3416"/>
      <c r="T2" s="3416"/>
      <c r="U2" s="3416"/>
      <c r="V2" s="3416"/>
      <c r="W2" s="2520"/>
      <c r="X2" s="3400" t="s">
        <v>232</v>
      </c>
      <c r="Y2" s="3400"/>
      <c r="Z2" s="3400"/>
      <c r="AA2" s="3400"/>
      <c r="AB2" s="3400"/>
      <c r="AC2" s="3400"/>
      <c r="AD2" s="3400"/>
      <c r="AE2" s="3400"/>
      <c r="AF2" s="3400"/>
      <c r="AG2" s="3400"/>
      <c r="AH2" s="3400"/>
      <c r="AI2" s="3400"/>
      <c r="AJ2" s="3400"/>
      <c r="AK2" s="3400"/>
      <c r="AL2" s="3400"/>
      <c r="AM2" s="3400"/>
      <c r="AN2" s="3400"/>
      <c r="AO2" s="3400"/>
      <c r="AP2" s="3400"/>
      <c r="AQ2" s="3400"/>
      <c r="AR2" s="3400"/>
      <c r="AS2" s="1051"/>
      <c r="AT2" s="1051"/>
      <c r="AU2" s="1051"/>
      <c r="AV2" s="1051"/>
      <c r="AW2" s="1051"/>
      <c r="AX2" s="1051"/>
      <c r="AY2" s="1051"/>
      <c r="AZ2" s="1051"/>
      <c r="BA2" s="1051"/>
      <c r="BB2" s="1051"/>
      <c r="BC2" s="2486"/>
    </row>
    <row r="3" spans="1:55" s="1" customFormat="1" ht="15.75" customHeight="1">
      <c r="A3" s="37"/>
      <c r="B3" s="2516"/>
      <c r="C3" s="2516"/>
      <c r="D3" s="2516"/>
      <c r="E3" s="2516"/>
      <c r="F3" s="2516"/>
      <c r="G3" s="2516"/>
      <c r="H3" s="2516"/>
      <c r="I3" s="2516"/>
      <c r="J3" s="2515"/>
      <c r="K3" s="2515"/>
      <c r="L3" s="2515"/>
      <c r="M3" s="2515"/>
      <c r="N3" s="2515"/>
      <c r="O3" s="349"/>
      <c r="P3" s="33"/>
      <c r="Q3" s="33"/>
      <c r="R3" s="33"/>
      <c r="S3" s="33"/>
      <c r="T3" s="33"/>
      <c r="U3" s="33"/>
      <c r="V3" s="33"/>
      <c r="W3" s="33"/>
      <c r="X3" s="576"/>
      <c r="Y3" s="576"/>
      <c r="Z3" s="576"/>
      <c r="AA3" s="576"/>
      <c r="AB3" s="576"/>
      <c r="AC3" s="576"/>
      <c r="AD3" s="576"/>
      <c r="AE3" s="576"/>
      <c r="AF3" s="576"/>
      <c r="AG3" s="576"/>
      <c r="AH3" s="576"/>
      <c r="AI3" s="576"/>
      <c r="AJ3" s="576"/>
      <c r="AK3" s="576"/>
      <c r="AL3" s="576"/>
      <c r="AM3" s="576"/>
      <c r="AN3" s="576"/>
      <c r="AO3" s="576"/>
      <c r="AP3" s="576"/>
      <c r="AQ3" s="576"/>
      <c r="AR3" s="576"/>
      <c r="AS3" s="3200" t="s">
        <v>1651</v>
      </c>
      <c r="AT3" s="3200"/>
      <c r="AU3" s="2356"/>
      <c r="AV3" s="2356"/>
      <c r="AW3" s="2356"/>
      <c r="AX3" s="2356"/>
      <c r="AY3" s="1051"/>
      <c r="AZ3" s="1051"/>
      <c r="BA3" s="1051"/>
      <c r="BB3" s="1051"/>
      <c r="BC3" s="2486"/>
    </row>
    <row r="4" spans="1:55" s="1" customFormat="1" ht="16.5" customHeight="1">
      <c r="A4" s="37"/>
      <c r="B4" s="3401" t="s">
        <v>166</v>
      </c>
      <c r="C4" s="3401"/>
      <c r="D4" s="3401"/>
      <c r="E4" s="3402" t="s">
        <v>1485</v>
      </c>
      <c r="F4" s="3402"/>
      <c r="G4" s="3402"/>
      <c r="H4" s="3402"/>
      <c r="I4" s="3402"/>
      <c r="J4" s="1570" t="s">
        <v>1073</v>
      </c>
      <c r="K4" s="3403" t="s">
        <v>57</v>
      </c>
      <c r="L4" s="3404"/>
      <c r="M4" s="3404"/>
      <c r="N4" s="3404"/>
      <c r="O4" s="3404"/>
      <c r="P4" s="3404"/>
      <c r="Q4" s="3404"/>
      <c r="R4" s="3404"/>
      <c r="S4" s="3404"/>
      <c r="T4" s="3404"/>
      <c r="U4" s="3405"/>
      <c r="V4" s="1051"/>
      <c r="W4" s="1051"/>
      <c r="X4" s="576"/>
      <c r="Y4" s="576"/>
      <c r="Z4" s="576"/>
      <c r="AA4" s="576"/>
      <c r="AB4" s="576"/>
      <c r="AC4" s="576"/>
      <c r="AD4" s="576"/>
      <c r="AE4" s="576"/>
      <c r="AF4" s="576"/>
      <c r="AG4" s="576"/>
      <c r="AH4" s="576"/>
      <c r="AI4" s="576"/>
      <c r="AJ4" s="576"/>
      <c r="AK4" s="576"/>
      <c r="AL4" s="576"/>
      <c r="AM4" s="576"/>
      <c r="AN4" s="576"/>
      <c r="AO4" s="576"/>
      <c r="AP4" s="576"/>
      <c r="AQ4" s="576"/>
      <c r="AR4" s="576"/>
      <c r="AS4" s="1545"/>
      <c r="AT4" s="3201" t="s">
        <v>1652</v>
      </c>
      <c r="AU4" s="3201"/>
      <c r="AV4" s="2353" t="s">
        <v>1653</v>
      </c>
      <c r="AW4" s="3195" t="s">
        <v>1654</v>
      </c>
      <c r="AX4" s="3196"/>
      <c r="AY4" s="1051"/>
      <c r="AZ4" s="2333"/>
      <c r="BA4" s="2333"/>
      <c r="BB4" s="1051"/>
      <c r="BC4" s="2486"/>
    </row>
    <row r="5" spans="1:55" s="1" customFormat="1" ht="16.5" customHeight="1">
      <c r="A5" s="37"/>
      <c r="B5" s="3406" t="s">
        <v>1744</v>
      </c>
      <c r="C5" s="3407"/>
      <c r="D5" s="91">
        <f>1000+AD94</f>
        <v>1046.4986222826087</v>
      </c>
      <c r="E5" s="3408" t="s">
        <v>37</v>
      </c>
      <c r="F5" s="3409"/>
      <c r="G5" s="3409"/>
      <c r="H5" s="3409"/>
      <c r="I5" s="173">
        <f>1000+AD93</f>
        <v>1048.8611222826087</v>
      </c>
      <c r="J5" s="431">
        <v>1048</v>
      </c>
      <c r="K5" s="3410" t="s">
        <v>56</v>
      </c>
      <c r="L5" s="3411"/>
      <c r="M5" s="3411"/>
      <c r="N5" s="3411"/>
      <c r="O5" s="3411"/>
      <c r="P5" s="3411"/>
      <c r="Q5" s="3411"/>
      <c r="R5" s="3411"/>
      <c r="S5" s="3411"/>
      <c r="T5" s="3411"/>
      <c r="U5" s="3412"/>
      <c r="V5" s="1051"/>
      <c r="W5" s="1051"/>
      <c r="X5" s="576"/>
      <c r="Y5" s="576"/>
      <c r="Z5" s="576"/>
      <c r="AA5" s="576"/>
      <c r="AB5" s="576"/>
      <c r="AC5" s="576"/>
      <c r="AD5" s="576"/>
      <c r="AE5" s="576"/>
      <c r="AF5" s="576"/>
      <c r="AG5" s="576"/>
      <c r="AH5" s="576"/>
      <c r="AI5" s="576"/>
      <c r="AJ5" s="576"/>
      <c r="AK5" s="576"/>
      <c r="AL5" s="576"/>
      <c r="AM5" s="576"/>
      <c r="AN5" s="576"/>
      <c r="AO5" s="576"/>
      <c r="AP5" s="576"/>
      <c r="AQ5" s="576"/>
      <c r="AR5" s="576"/>
      <c r="AS5" s="1545"/>
      <c r="AT5" s="3182">
        <v>1</v>
      </c>
      <c r="AU5" s="3190"/>
      <c r="AV5" s="2354">
        <f>AT5*6/5</f>
        <v>1.2</v>
      </c>
      <c r="AW5" s="3193">
        <f>3.7854*AV5/8</f>
        <v>0.56781000000000004</v>
      </c>
      <c r="AX5" s="3194"/>
      <c r="AY5" s="1051"/>
      <c r="AZ5" s="2333"/>
      <c r="BA5" s="2333"/>
      <c r="BB5" s="1051"/>
      <c r="BC5" s="2486"/>
    </row>
    <row r="6" spans="1:55" s="1" customFormat="1" ht="16.5" customHeight="1">
      <c r="A6" s="37"/>
      <c r="B6" s="3350" t="s">
        <v>1746</v>
      </c>
      <c r="C6" s="3351"/>
      <c r="D6" s="92">
        <f>1000+AD95</f>
        <v>1011.1596693478261</v>
      </c>
      <c r="E6" s="3352" t="s">
        <v>38</v>
      </c>
      <c r="F6" s="3353"/>
      <c r="G6" s="3353"/>
      <c r="H6" s="3353"/>
      <c r="I6" s="103">
        <f>1000+AD96</f>
        <v>1010.9708178268335</v>
      </c>
      <c r="J6" s="434">
        <v>1011</v>
      </c>
      <c r="K6" s="3397"/>
      <c r="L6" s="3398"/>
      <c r="M6" s="3398"/>
      <c r="N6" s="3399" t="s">
        <v>1143</v>
      </c>
      <c r="O6" s="3399"/>
      <c r="P6" s="3399"/>
      <c r="Q6" s="3385" t="s">
        <v>952</v>
      </c>
      <c r="R6" s="3385"/>
      <c r="S6" s="3386" t="s">
        <v>953</v>
      </c>
      <c r="T6" s="3386"/>
      <c r="U6" s="3387"/>
      <c r="V6" s="1051"/>
      <c r="W6" s="1051"/>
      <c r="X6" s="576"/>
      <c r="Y6" s="576"/>
      <c r="Z6" s="576"/>
      <c r="AA6" s="576"/>
      <c r="AB6" s="576"/>
      <c r="AC6" s="576"/>
      <c r="AD6" s="576"/>
      <c r="AE6" s="576"/>
      <c r="AF6" s="576"/>
      <c r="AG6" s="576"/>
      <c r="AH6" s="576"/>
      <c r="AI6" s="576"/>
      <c r="AJ6" s="576"/>
      <c r="AK6" s="576"/>
      <c r="AL6" s="576"/>
      <c r="AM6" s="576"/>
      <c r="AN6" s="576"/>
      <c r="AO6" s="576"/>
      <c r="AP6" s="576"/>
      <c r="AQ6" s="576"/>
      <c r="AR6" s="576"/>
      <c r="AS6" s="1545"/>
      <c r="AT6" s="3182">
        <v>2</v>
      </c>
      <c r="AU6" s="3190"/>
      <c r="AV6" s="2354">
        <f t="shared" ref="AV6:AV10" si="0">AT6*6/5</f>
        <v>2.4</v>
      </c>
      <c r="AW6" s="3193">
        <f t="shared" ref="AW6:AW10" si="1">3.7854*AV6/8</f>
        <v>1.1356200000000001</v>
      </c>
      <c r="AX6" s="3194"/>
      <c r="AY6" s="1051"/>
      <c r="AZ6" s="2333"/>
      <c r="BA6" s="2333"/>
      <c r="BB6" s="1051"/>
      <c r="BC6" s="2486"/>
    </row>
    <row r="7" spans="1:55" s="1" customFormat="1" ht="16.5" customHeight="1">
      <c r="A7" s="37"/>
      <c r="B7" s="3350" t="s">
        <v>39</v>
      </c>
      <c r="C7" s="3351"/>
      <c r="D7" s="145">
        <f>(D5-D6)/(7.75-(3*(D5-1000)/800))</f>
        <v>4.6648202404775425</v>
      </c>
      <c r="E7" s="3352" t="s">
        <v>40</v>
      </c>
      <c r="F7" s="3353"/>
      <c r="G7" s="3353"/>
      <c r="H7" s="3353"/>
      <c r="I7" s="1318">
        <f>(I5-I6)/(7.75-(3*(I5-1000)/800))</f>
        <v>5.007460315652482</v>
      </c>
      <c r="J7" s="434">
        <v>5</v>
      </c>
      <c r="K7" s="3350" t="s">
        <v>12</v>
      </c>
      <c r="L7" s="3351"/>
      <c r="M7" s="3351"/>
      <c r="N7" s="3351"/>
      <c r="O7" s="93">
        <v>500</v>
      </c>
      <c r="P7" s="94" t="s">
        <v>13</v>
      </c>
      <c r="Q7" s="203">
        <v>1</v>
      </c>
      <c r="R7" s="95" t="s">
        <v>14</v>
      </c>
      <c r="S7" s="204">
        <v>12</v>
      </c>
      <c r="T7" s="3354" t="s">
        <v>15</v>
      </c>
      <c r="U7" s="3355"/>
      <c r="V7" s="1051"/>
      <c r="W7" s="1051"/>
      <c r="X7" s="576"/>
      <c r="Y7" s="576"/>
      <c r="Z7" s="576"/>
      <c r="AA7" s="576"/>
      <c r="AB7" s="576"/>
      <c r="AC7" s="576"/>
      <c r="AD7" s="576"/>
      <c r="AE7" s="576"/>
      <c r="AF7" s="576"/>
      <c r="AG7" s="576"/>
      <c r="AH7" s="576"/>
      <c r="AI7" s="576"/>
      <c r="AJ7" s="576"/>
      <c r="AK7" s="576"/>
      <c r="AL7" s="576"/>
      <c r="AM7" s="576"/>
      <c r="AN7" s="576"/>
      <c r="AO7" s="576"/>
      <c r="AP7" s="576"/>
      <c r="AQ7" s="576"/>
      <c r="AR7" s="576"/>
      <c r="AS7" s="1545"/>
      <c r="AT7" s="3182">
        <v>3</v>
      </c>
      <c r="AU7" s="3190"/>
      <c r="AV7" s="2354">
        <f t="shared" si="0"/>
        <v>3.6</v>
      </c>
      <c r="AW7" s="3193">
        <f t="shared" si="1"/>
        <v>1.70343</v>
      </c>
      <c r="AX7" s="3194"/>
      <c r="AY7" s="1051"/>
      <c r="AZ7" s="2333"/>
      <c r="BA7" s="2333"/>
      <c r="BB7" s="1051"/>
      <c r="BC7" s="2486"/>
    </row>
    <row r="8" spans="1:55" s="1" customFormat="1" ht="16.5" customHeight="1">
      <c r="A8" s="37"/>
      <c r="B8" s="3391" t="s">
        <v>41</v>
      </c>
      <c r="C8" s="3392"/>
      <c r="D8" s="2081">
        <f>VLOOKUP($D$25,$Z$81:$AA$124,2)</f>
        <v>0.877</v>
      </c>
      <c r="E8" s="3393" t="s">
        <v>42</v>
      </c>
      <c r="F8" s="3394"/>
      <c r="G8" s="3394"/>
      <c r="H8" s="3394"/>
      <c r="I8" s="2087">
        <f>D81</f>
        <v>2.5275263157894736</v>
      </c>
      <c r="J8" s="434">
        <v>2.5</v>
      </c>
      <c r="K8" s="3395" t="s">
        <v>16</v>
      </c>
      <c r="L8" s="3396"/>
      <c r="M8" s="3396"/>
      <c r="N8" s="3396"/>
      <c r="O8" s="1181">
        <f>O7*AI76</f>
        <v>138.54876551982122</v>
      </c>
      <c r="P8" s="1182"/>
      <c r="Q8" s="205">
        <f>568*Q7*AI76</f>
        <v>157.39139763051688</v>
      </c>
      <c r="R8" s="1182"/>
      <c r="S8" s="206">
        <f>29.57*S7*AI76</f>
        <v>98.325287914106724</v>
      </c>
      <c r="T8" s="2527"/>
      <c r="U8" s="1360"/>
      <c r="V8" s="1051"/>
      <c r="W8" s="1051"/>
      <c r="X8" s="576"/>
      <c r="Y8" s="576"/>
      <c r="Z8" s="576"/>
      <c r="AA8" s="576"/>
      <c r="AB8" s="576"/>
      <c r="AC8" s="576"/>
      <c r="AD8" s="576"/>
      <c r="AE8" s="576"/>
      <c r="AF8" s="576"/>
      <c r="AG8" s="576"/>
      <c r="AH8" s="576"/>
      <c r="AI8" s="576"/>
      <c r="AJ8" s="576"/>
      <c r="AK8" s="576"/>
      <c r="AL8" s="576"/>
      <c r="AM8" s="576"/>
      <c r="AN8" s="576"/>
      <c r="AO8" s="576"/>
      <c r="AP8" s="576"/>
      <c r="AQ8" s="576"/>
      <c r="AR8" s="576"/>
      <c r="AS8" s="1545"/>
      <c r="AT8" s="3182">
        <v>4</v>
      </c>
      <c r="AU8" s="3190"/>
      <c r="AV8" s="2354">
        <f t="shared" si="0"/>
        <v>4.8</v>
      </c>
      <c r="AW8" s="3193">
        <f t="shared" si="1"/>
        <v>2.2712400000000001</v>
      </c>
      <c r="AX8" s="3194"/>
      <c r="AY8" s="1051"/>
      <c r="AZ8" s="2333"/>
      <c r="BA8" s="2333"/>
      <c r="BB8" s="1051"/>
      <c r="BC8" s="2486"/>
    </row>
    <row r="9" spans="1:55" s="1" customFormat="1" ht="16.5" customHeight="1">
      <c r="A9" s="37"/>
      <c r="B9" s="3371" t="s">
        <v>1742</v>
      </c>
      <c r="C9" s="3372"/>
      <c r="D9" s="2088" t="str">
        <f>FIXED(((X70+X71+X72+X74)/28.3),2)&amp;" oz"</f>
        <v>0.00 oz</v>
      </c>
      <c r="E9" s="3373" t="s">
        <v>1528</v>
      </c>
      <c r="F9" s="3374"/>
      <c r="G9" s="3374"/>
      <c r="H9" s="3374"/>
      <c r="I9" s="2089" t="str">
        <f>FIXED(((X70+X71+X72+X74+X75+D76*D23/(23/40.5)))*0.0353)&amp;" oz"</f>
        <v>9.01 oz</v>
      </c>
      <c r="J9" s="2086">
        <f>J5-1000</f>
        <v>48</v>
      </c>
      <c r="K9" s="3352" t="s">
        <v>17</v>
      </c>
      <c r="L9" s="3353"/>
      <c r="M9" s="3353"/>
      <c r="N9" s="3353"/>
      <c r="O9" s="1181">
        <f>O7*AI77</f>
        <v>87.591292246246411</v>
      </c>
      <c r="P9" s="1182"/>
      <c r="Q9" s="205">
        <f>568*AI77*Q7</f>
        <v>99.503707991735922</v>
      </c>
      <c r="R9" s="1182"/>
      <c r="S9" s="206">
        <f>29.57*AI77*S7</f>
        <v>62.161788281316156</v>
      </c>
      <c r="T9" s="2524"/>
      <c r="U9" s="1360"/>
      <c r="V9" s="1051"/>
      <c r="W9" s="1051"/>
      <c r="X9" s="576"/>
      <c r="Y9" s="576"/>
      <c r="Z9" s="576"/>
      <c r="AA9" s="576"/>
      <c r="AB9" s="576"/>
      <c r="AC9" s="576"/>
      <c r="AD9" s="576"/>
      <c r="AE9" s="576"/>
      <c r="AF9" s="576"/>
      <c r="AG9" s="576"/>
      <c r="AH9" s="576"/>
      <c r="AI9" s="576"/>
      <c r="AJ9" s="576"/>
      <c r="AK9" s="576"/>
      <c r="AL9" s="576"/>
      <c r="AM9" s="576"/>
      <c r="AN9" s="576"/>
      <c r="AO9" s="576"/>
      <c r="AP9" s="576"/>
      <c r="AQ9" s="576"/>
      <c r="AR9" s="576"/>
      <c r="AS9" s="1545"/>
      <c r="AT9" s="3182">
        <v>5</v>
      </c>
      <c r="AU9" s="3190"/>
      <c r="AV9" s="2354">
        <f t="shared" si="0"/>
        <v>6</v>
      </c>
      <c r="AW9" s="3193">
        <f t="shared" si="1"/>
        <v>2.8390500000000003</v>
      </c>
      <c r="AX9" s="3194"/>
      <c r="AY9" s="1051"/>
      <c r="AZ9" s="2333"/>
      <c r="BA9" s="2333"/>
      <c r="BB9" s="1051"/>
      <c r="BC9" s="2486"/>
    </row>
    <row r="10" spans="1:55" s="1" customFormat="1" ht="16.5" customHeight="1">
      <c r="A10" s="37"/>
      <c r="B10" s="2251" t="s">
        <v>44</v>
      </c>
      <c r="C10" s="2252"/>
      <c r="D10" s="1935">
        <f>AG68+L67</f>
        <v>24.140255760797025</v>
      </c>
      <c r="E10" s="3375" t="s">
        <v>1572</v>
      </c>
      <c r="F10" s="3375"/>
      <c r="G10" s="3375"/>
      <c r="H10" s="3375"/>
      <c r="I10" s="3375"/>
      <c r="J10" s="2091">
        <v>24</v>
      </c>
      <c r="K10" s="3352" t="s">
        <v>18</v>
      </c>
      <c r="L10" s="3353"/>
      <c r="M10" s="3353"/>
      <c r="N10" s="3353"/>
      <c r="O10" s="1184">
        <f>O9/3.85</f>
        <v>22.750984999025043</v>
      </c>
      <c r="P10" s="1185" t="s">
        <v>141</v>
      </c>
      <c r="Q10" s="208">
        <f>Q9/3.85</f>
        <v>25.845118958892446</v>
      </c>
      <c r="R10" s="1186" t="s">
        <v>141</v>
      </c>
      <c r="S10" s="209">
        <f>S9/3.85</f>
        <v>16.145919034108093</v>
      </c>
      <c r="T10" s="1190" t="s">
        <v>141</v>
      </c>
      <c r="U10" s="1360"/>
      <c r="V10" s="1051"/>
      <c r="W10" s="1051"/>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1545"/>
      <c r="AT10" s="3182">
        <v>25</v>
      </c>
      <c r="AU10" s="3190"/>
      <c r="AV10" s="2354">
        <f t="shared" si="0"/>
        <v>30</v>
      </c>
      <c r="AW10" s="3193">
        <f t="shared" si="1"/>
        <v>14.19525</v>
      </c>
      <c r="AX10" s="3194"/>
      <c r="AY10" s="1051"/>
      <c r="AZ10" s="2333"/>
      <c r="BA10" s="2333"/>
      <c r="BB10" s="1051"/>
      <c r="BC10" s="2486"/>
    </row>
    <row r="11" spans="1:55" s="1" customFormat="1" ht="16.5" customHeight="1">
      <c r="A11" s="37"/>
      <c r="B11" s="3376"/>
      <c r="C11" s="3377"/>
      <c r="D11" s="1155">
        <f>AG68+O67</f>
        <v>24.140255760797025</v>
      </c>
      <c r="E11" s="3378" t="s">
        <v>1573</v>
      </c>
      <c r="F11" s="3378"/>
      <c r="G11" s="3378"/>
      <c r="H11" s="3378"/>
      <c r="I11" s="3378"/>
      <c r="J11" s="3379" t="str">
        <f>IF(J10/(J9+0.001)&gt;0.81,"Too Hoppy?",IF(J10/J9&gt;0.65,"Very Hoppy",IF(J10/J9&gt;0.55,"Slightly Hoppy",IF(J10/J9&gt;0.45,"Balanced",IF(J10/J9&gt;0.35,"Slightly Malty",IF(J10/J9&gt;0.25,"Very Malty",IF((J10+0.001)/J9&gt;0,"Too Malty?")))))))</f>
        <v>Balanced</v>
      </c>
      <c r="K11" s="3381" t="s">
        <v>20</v>
      </c>
      <c r="L11" s="3382"/>
      <c r="M11" s="3382"/>
      <c r="N11" s="3382"/>
      <c r="O11" s="1210">
        <f>SUM(O8:O9)</f>
        <v>226.14005776606763</v>
      </c>
      <c r="P11" s="1211"/>
      <c r="Q11" s="1212">
        <f>SUM(Q8:Q9)</f>
        <v>256.8951056222528</v>
      </c>
      <c r="R11" s="1211"/>
      <c r="S11" s="1213">
        <f>SUM(S8:S9)</f>
        <v>160.48707619542287</v>
      </c>
      <c r="T11" s="1214"/>
      <c r="U11" s="1361"/>
      <c r="V11" s="1051"/>
      <c r="W11" s="1051"/>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2338"/>
      <c r="AT11" s="2331"/>
      <c r="AU11" s="2331"/>
      <c r="AV11" s="2355"/>
      <c r="AW11" s="2355"/>
      <c r="AX11" s="2331"/>
      <c r="AY11" s="1051"/>
      <c r="AZ11" s="2333"/>
      <c r="BA11" s="2333"/>
      <c r="BB11" s="1051"/>
      <c r="BC11" s="2486"/>
    </row>
    <row r="12" spans="1:55" s="1" customFormat="1" ht="16.5" customHeight="1">
      <c r="A12" s="37"/>
      <c r="B12" s="3383"/>
      <c r="C12" s="3384"/>
      <c r="D12" s="2253">
        <f>AG68+R67</f>
        <v>24.063203884339906</v>
      </c>
      <c r="E12" s="3388" t="s">
        <v>45</v>
      </c>
      <c r="F12" s="3388"/>
      <c r="G12" s="3388"/>
      <c r="H12" s="3388"/>
      <c r="I12" s="3388"/>
      <c r="J12" s="3380"/>
      <c r="K12" s="3389" t="s">
        <v>428</v>
      </c>
      <c r="L12" s="3390"/>
      <c r="M12" s="3390"/>
      <c r="N12" s="3390"/>
      <c r="O12" s="1191">
        <f>O13*O7/1000</f>
        <v>2.503730157826241</v>
      </c>
      <c r="P12" s="1188"/>
      <c r="Q12" s="224">
        <f>Q13*Q7*568.26/1000</f>
        <v>2.8455393989726794</v>
      </c>
      <c r="R12" s="1189"/>
      <c r="S12" s="225">
        <f>S13*S7*29.57/1000</f>
        <v>1.7768472184061268</v>
      </c>
      <c r="T12" s="337"/>
      <c r="U12" s="1360"/>
      <c r="V12" s="1051"/>
      <c r="W12" s="1051"/>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2338"/>
      <c r="AT12" s="3191" t="s">
        <v>1653</v>
      </c>
      <c r="AU12" s="3192"/>
      <c r="AV12" s="2353" t="s">
        <v>1652</v>
      </c>
      <c r="AW12" s="3195" t="s">
        <v>1654</v>
      </c>
      <c r="AX12" s="3196"/>
      <c r="AY12" s="1051"/>
      <c r="AZ12" s="2333"/>
      <c r="BA12" s="2333"/>
      <c r="BB12" s="1051"/>
      <c r="BC12" s="2486"/>
    </row>
    <row r="13" spans="1:55" s="1" customFormat="1" ht="16.5" customHeight="1">
      <c r="A13" s="37"/>
      <c r="B13" s="2248" t="s">
        <v>205</v>
      </c>
      <c r="C13" s="2513"/>
      <c r="D13" s="2249">
        <f>AF76</f>
        <v>24.3218347826087</v>
      </c>
      <c r="E13" s="3363" t="str">
        <f>"EBC = "&amp;FIXED(0.508*D13, 1)&amp;" SRM"</f>
        <v>EBC = 12.4 SRM</v>
      </c>
      <c r="F13" s="3363"/>
      <c r="G13" s="3363"/>
      <c r="H13" s="3363"/>
      <c r="I13" s="3364"/>
      <c r="J13" s="2250">
        <v>22.5</v>
      </c>
      <c r="K13" s="3365" t="s">
        <v>152</v>
      </c>
      <c r="L13" s="3366"/>
      <c r="M13" s="3366"/>
      <c r="N13" s="3366"/>
      <c r="O13" s="1362">
        <f>I7</f>
        <v>5.007460315652482</v>
      </c>
      <c r="P13" s="1644"/>
      <c r="Q13" s="1363">
        <f>I7</f>
        <v>5.007460315652482</v>
      </c>
      <c r="R13" s="1644"/>
      <c r="S13" s="1364">
        <f>I7</f>
        <v>5.007460315652482</v>
      </c>
      <c r="T13" s="1365"/>
      <c r="U13" s="1366"/>
      <c r="V13" s="1051"/>
      <c r="W13" s="1051"/>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1545"/>
      <c r="AT13" s="3188">
        <v>1</v>
      </c>
      <c r="AU13" s="3189"/>
      <c r="AV13" s="2354">
        <f t="shared" ref="AV13:AV18" si="2">AT13*(5/6)</f>
        <v>0.83333333333333337</v>
      </c>
      <c r="AW13" s="3193">
        <f>3.7854*AT13/8</f>
        <v>0.47317500000000001</v>
      </c>
      <c r="AX13" s="3194"/>
      <c r="AY13" s="1051"/>
      <c r="AZ13" s="2333"/>
      <c r="BA13" s="2333"/>
      <c r="BB13" s="1051"/>
      <c r="BC13" s="2486"/>
    </row>
    <row r="14" spans="1:55" s="1" customFormat="1" ht="16.5" customHeight="1">
      <c r="A14" s="37"/>
      <c r="B14" s="75"/>
      <c r="C14" s="75"/>
      <c r="D14" s="40"/>
      <c r="E14" s="99"/>
      <c r="F14" s="99"/>
      <c r="G14" s="99"/>
      <c r="H14" s="99"/>
      <c r="I14" s="99"/>
      <c r="J14" s="1317"/>
      <c r="K14" s="1358"/>
      <c r="L14" s="1358"/>
      <c r="M14" s="1358"/>
      <c r="N14" s="1358"/>
      <c r="O14" s="207"/>
      <c r="P14" s="197"/>
      <c r="Q14" s="208"/>
      <c r="R14" s="197"/>
      <c r="S14" s="209"/>
      <c r="T14" s="2544"/>
      <c r="U14" s="1051"/>
      <c r="V14" s="1051"/>
      <c r="W14" s="1051"/>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1545"/>
      <c r="AT14" s="3188">
        <v>2</v>
      </c>
      <c r="AU14" s="3189"/>
      <c r="AV14" s="2354">
        <f t="shared" si="2"/>
        <v>1.6666666666666667</v>
      </c>
      <c r="AW14" s="3193">
        <f t="shared" ref="AW14:AW17" si="3">3.7854*AT14/8</f>
        <v>0.94635000000000002</v>
      </c>
      <c r="AX14" s="3194"/>
      <c r="AY14" s="1051"/>
      <c r="AZ14" s="2333"/>
      <c r="BA14" s="2333"/>
      <c r="BB14" s="1051"/>
      <c r="BC14" s="2486"/>
    </row>
    <row r="15" spans="1:55" s="1" customFormat="1" ht="16.5" customHeight="1">
      <c r="A15" s="37"/>
      <c r="B15" s="75"/>
      <c r="C15" s="75"/>
      <c r="D15" s="40"/>
      <c r="E15" s="99"/>
      <c r="F15" s="99"/>
      <c r="G15" s="99"/>
      <c r="H15" s="99"/>
      <c r="I15" s="99"/>
      <c r="J15" s="99"/>
      <c r="K15" s="1358"/>
      <c r="L15" s="1358"/>
      <c r="M15" s="1358"/>
      <c r="N15" s="1358"/>
      <c r="O15" s="207"/>
      <c r="P15" s="197"/>
      <c r="Q15" s="208"/>
      <c r="R15" s="197"/>
      <c r="S15" s="209"/>
      <c r="T15" s="2544"/>
      <c r="U15" s="1051"/>
      <c r="V15" s="1051"/>
      <c r="W15" s="1051"/>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1545"/>
      <c r="AT15" s="3188">
        <v>3</v>
      </c>
      <c r="AU15" s="3189"/>
      <c r="AV15" s="2354">
        <f t="shared" si="2"/>
        <v>2.5</v>
      </c>
      <c r="AW15" s="3193">
        <f t="shared" si="3"/>
        <v>1.4195250000000001</v>
      </c>
      <c r="AX15" s="3194"/>
      <c r="AY15" s="1051"/>
      <c r="AZ15" s="2333"/>
      <c r="BA15" s="2333"/>
      <c r="BB15" s="1051"/>
      <c r="BC15" s="2486"/>
    </row>
    <row r="16" spans="1:55" s="1" customFormat="1" ht="16.5" customHeight="1">
      <c r="A16" s="37"/>
      <c r="B16" s="2516"/>
      <c r="C16" s="2515"/>
      <c r="D16" s="2515"/>
      <c r="E16" s="2515"/>
      <c r="F16" s="2514"/>
      <c r="G16" s="2515"/>
      <c r="H16" s="2515"/>
      <c r="I16" s="2515"/>
      <c r="J16" s="2515"/>
      <c r="K16" s="2515"/>
      <c r="L16" s="59"/>
      <c r="M16" s="2514"/>
      <c r="N16" s="2515"/>
      <c r="O16" s="2515"/>
      <c r="P16" s="2515"/>
      <c r="Q16" s="351"/>
      <c r="R16" s="226"/>
      <c r="S16" s="226"/>
      <c r="T16" s="226"/>
      <c r="U16" s="1051"/>
      <c r="V16" s="1051"/>
      <c r="W16" s="1051"/>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1545"/>
      <c r="AT16" s="3188">
        <v>4</v>
      </c>
      <c r="AU16" s="3189"/>
      <c r="AV16" s="2354">
        <f t="shared" si="2"/>
        <v>3.3333333333333335</v>
      </c>
      <c r="AW16" s="3193">
        <f t="shared" si="3"/>
        <v>1.8927</v>
      </c>
      <c r="AX16" s="3194"/>
      <c r="AY16" s="1051"/>
      <c r="AZ16" s="2333"/>
      <c r="BA16" s="2333"/>
      <c r="BB16" s="1051"/>
      <c r="BC16" s="2486"/>
    </row>
    <row r="17" spans="1:55" s="1" customFormat="1" ht="16.5" customHeight="1">
      <c r="A17" s="37"/>
      <c r="B17" s="2516"/>
      <c r="C17" s="2515"/>
      <c r="D17" s="2515"/>
      <c r="E17" s="2515"/>
      <c r="F17" s="2514"/>
      <c r="G17" s="2515"/>
      <c r="H17" s="2515"/>
      <c r="I17" s="2515"/>
      <c r="J17" s="2515"/>
      <c r="K17" s="2515"/>
      <c r="L17" s="59"/>
      <c r="M17" s="2514"/>
      <c r="N17" s="2515"/>
      <c r="O17" s="2515"/>
      <c r="P17" s="2515"/>
      <c r="Q17" s="351"/>
      <c r="R17" s="226"/>
      <c r="S17" s="226"/>
      <c r="T17" s="226"/>
      <c r="U17" s="1051"/>
      <c r="V17" s="1051"/>
      <c r="W17" s="1051"/>
      <c r="X17" s="576"/>
      <c r="Y17" s="576"/>
      <c r="Z17" s="576"/>
      <c r="AA17" s="576"/>
      <c r="AB17" s="576"/>
      <c r="AC17" s="576"/>
      <c r="AD17" s="576"/>
      <c r="AE17" s="576"/>
      <c r="AF17" s="576"/>
      <c r="AG17" s="576"/>
      <c r="AH17" s="576"/>
      <c r="AI17" s="576"/>
      <c r="AJ17" s="576"/>
      <c r="AK17" s="576"/>
      <c r="AL17" s="576"/>
      <c r="AM17" s="576"/>
      <c r="AN17" s="576"/>
      <c r="AO17" s="576"/>
      <c r="AP17" s="576"/>
      <c r="AQ17" s="576"/>
      <c r="AR17" s="576"/>
      <c r="AS17" s="1545"/>
      <c r="AT17" s="3188">
        <v>5</v>
      </c>
      <c r="AU17" s="3189"/>
      <c r="AV17" s="2354">
        <f t="shared" si="2"/>
        <v>4.166666666666667</v>
      </c>
      <c r="AW17" s="3193">
        <f t="shared" si="3"/>
        <v>2.365875</v>
      </c>
      <c r="AX17" s="3194"/>
      <c r="AY17" s="1051"/>
      <c r="AZ17" s="2333"/>
      <c r="BA17" s="2333"/>
      <c r="BB17" s="1051"/>
      <c r="BC17" s="2486"/>
    </row>
    <row r="18" spans="1:55" s="1" customFormat="1" ht="16.5" customHeight="1">
      <c r="A18" s="37"/>
      <c r="B18" s="2516"/>
      <c r="C18" s="2515"/>
      <c r="D18" s="2515"/>
      <c r="E18" s="2515"/>
      <c r="F18" s="2514"/>
      <c r="G18" s="2515"/>
      <c r="H18" s="2515"/>
      <c r="I18" s="2515"/>
      <c r="J18" s="2515"/>
      <c r="K18" s="2515"/>
      <c r="L18" s="59"/>
      <c r="M18" s="2514"/>
      <c r="N18" s="2515"/>
      <c r="O18" s="2515"/>
      <c r="P18" s="2515"/>
      <c r="Q18" s="351"/>
      <c r="R18" s="226"/>
      <c r="S18" s="226"/>
      <c r="T18" s="226"/>
      <c r="U18" s="1051"/>
      <c r="V18" s="1051"/>
      <c r="W18" s="1051"/>
      <c r="X18" s="578"/>
      <c r="Y18" s="578"/>
      <c r="Z18" s="579"/>
      <c r="AA18" s="579"/>
      <c r="AB18" s="579"/>
      <c r="AC18" s="579"/>
      <c r="AD18" s="579"/>
      <c r="AE18" s="579"/>
      <c r="AF18" s="579"/>
      <c r="AG18" s="579"/>
      <c r="AH18" s="580"/>
      <c r="AI18" s="580"/>
      <c r="AJ18" s="580"/>
      <c r="AK18" s="581"/>
      <c r="AL18" s="582"/>
      <c r="AM18" s="581"/>
      <c r="AN18" s="582"/>
      <c r="AO18" s="582"/>
      <c r="AP18" s="582"/>
      <c r="AQ18" s="582"/>
      <c r="AR18" s="582"/>
      <c r="AS18" s="1545"/>
      <c r="AT18" s="3182">
        <v>25</v>
      </c>
      <c r="AU18" s="3190"/>
      <c r="AV18" s="2354">
        <f t="shared" si="2"/>
        <v>20.833333333333336</v>
      </c>
      <c r="AW18" s="3193">
        <f t="shared" ref="AW18" si="4">3.7854*AT18/8</f>
        <v>11.829375000000001</v>
      </c>
      <c r="AX18" s="3194"/>
      <c r="AY18" s="1051"/>
      <c r="AZ18" s="2333"/>
      <c r="BA18" s="2333"/>
      <c r="BB18" s="1051"/>
      <c r="BC18" s="2486"/>
    </row>
    <row r="19" spans="1:55" s="1" customFormat="1" ht="12.75" customHeight="1">
      <c r="A19" s="37"/>
      <c r="B19" s="2516"/>
      <c r="C19" s="2515"/>
      <c r="D19" s="2515"/>
      <c r="E19" s="2515"/>
      <c r="F19" s="2514"/>
      <c r="G19" s="2515"/>
      <c r="H19" s="2515"/>
      <c r="I19" s="2515"/>
      <c r="J19" s="2515"/>
      <c r="K19" s="2515"/>
      <c r="L19" s="2515"/>
      <c r="M19" s="2515"/>
      <c r="N19" s="2515"/>
      <c r="O19" s="2515"/>
      <c r="P19" s="2515"/>
      <c r="Q19" s="2515"/>
      <c r="R19" s="2515"/>
      <c r="S19" s="2515"/>
      <c r="T19" s="2515"/>
      <c r="U19" s="2515"/>
      <c r="V19" s="2515"/>
      <c r="W19" s="2515"/>
      <c r="X19" s="578"/>
      <c r="Y19" s="578"/>
      <c r="Z19" s="579"/>
      <c r="AA19" s="579"/>
      <c r="AB19" s="579"/>
      <c r="AC19" s="579"/>
      <c r="AD19" s="579"/>
      <c r="AE19" s="579"/>
      <c r="AF19" s="579"/>
      <c r="AG19" s="579"/>
      <c r="AH19" s="580"/>
      <c r="AI19" s="580"/>
      <c r="AJ19" s="580"/>
      <c r="AK19" s="581"/>
      <c r="AL19" s="582"/>
      <c r="AM19" s="581"/>
      <c r="AN19" s="582"/>
      <c r="AO19" s="582"/>
      <c r="AP19" s="582"/>
      <c r="AQ19" s="582"/>
      <c r="AR19" s="582"/>
      <c r="AS19" s="931"/>
      <c r="AT19" s="931"/>
      <c r="AU19" s="931"/>
      <c r="AV19" s="931"/>
      <c r="AW19" s="2339"/>
      <c r="AX19" s="2339"/>
      <c r="AY19" s="1051"/>
      <c r="AZ19" s="2333"/>
      <c r="BA19" s="2333"/>
      <c r="BB19" s="1051"/>
      <c r="BC19" s="2486"/>
    </row>
    <row r="20" spans="1:55" s="1" customFormat="1" ht="16.5" customHeight="1">
      <c r="A20" s="37"/>
      <c r="B20" s="2516"/>
      <c r="C20" s="2515"/>
      <c r="D20" s="2282" t="s">
        <v>1611</v>
      </c>
      <c r="E20" s="2283" t="s">
        <v>1612</v>
      </c>
      <c r="F20" s="3367" t="s">
        <v>249</v>
      </c>
      <c r="G20" s="3368"/>
      <c r="H20" s="3368"/>
      <c r="I20" s="3368"/>
      <c r="J20" s="3368"/>
      <c r="K20" s="2515"/>
      <c r="L20" s="2515"/>
      <c r="M20" s="2515"/>
      <c r="N20" s="2515"/>
      <c r="O20" s="2515"/>
      <c r="P20" s="2515"/>
      <c r="Q20" s="2515"/>
      <c r="R20" s="2515"/>
      <c r="S20" s="2515"/>
      <c r="T20" s="2515"/>
      <c r="U20" s="2515"/>
      <c r="V20" s="2515"/>
      <c r="W20" s="2515"/>
      <c r="X20" s="578"/>
      <c r="Y20" s="578"/>
      <c r="Z20" s="1377" t="s">
        <v>1589</v>
      </c>
      <c r="AA20" s="1980">
        <f>SUM(X33:X45)</f>
        <v>3430.3500000000004</v>
      </c>
      <c r="AB20" s="1981">
        <f>10/7.273</f>
        <v>1.3749484394335214</v>
      </c>
      <c r="AC20" s="1377">
        <f>AA20*AB20</f>
        <v>4716.554379210781</v>
      </c>
      <c r="AD20" s="1019"/>
      <c r="AE20" s="574"/>
      <c r="AF20" s="574"/>
      <c r="AG20" s="574"/>
      <c r="AH20" s="160"/>
      <c r="AI20" s="160"/>
      <c r="AJ20" s="160"/>
      <c r="AK20" s="575"/>
      <c r="AL20" s="577"/>
      <c r="AM20" s="575"/>
      <c r="AN20" s="577"/>
      <c r="AO20" s="577"/>
      <c r="AP20" s="577"/>
      <c r="AQ20" s="577"/>
      <c r="AR20" s="577"/>
      <c r="AS20" s="1545"/>
      <c r="AT20" s="3191" t="s">
        <v>1654</v>
      </c>
      <c r="AU20" s="3192"/>
      <c r="AV20" s="2342" t="s">
        <v>1652</v>
      </c>
      <c r="AW20" s="3195" t="s">
        <v>1653</v>
      </c>
      <c r="AX20" s="3196"/>
      <c r="AY20" s="1051"/>
      <c r="AZ20" s="931"/>
      <c r="BA20" s="931"/>
      <c r="BB20" s="1051"/>
      <c r="BC20" s="2486"/>
    </row>
    <row r="21" spans="1:55" s="1" customFormat="1" ht="16.5" customHeight="1">
      <c r="A21" s="37"/>
      <c r="B21" s="59"/>
      <c r="C21" s="59"/>
      <c r="D21" s="59"/>
      <c r="E21" s="59"/>
      <c r="F21" s="59"/>
      <c r="G21" s="59"/>
      <c r="H21" s="59"/>
      <c r="I21" s="59"/>
      <c r="J21" s="59"/>
      <c r="K21" s="2515"/>
      <c r="L21" s="2515"/>
      <c r="M21" s="43"/>
      <c r="N21" s="43"/>
      <c r="O21" s="1051"/>
      <c r="P21" s="1051"/>
      <c r="Q21" s="1051"/>
      <c r="R21" s="2515"/>
      <c r="S21" s="2515"/>
      <c r="T21" s="2544"/>
      <c r="U21" s="1051"/>
      <c r="V21" s="1051"/>
      <c r="W21" s="1051"/>
      <c r="X21" s="578"/>
      <c r="Y21" s="578"/>
      <c r="Z21" s="1377" t="s">
        <v>1590</v>
      </c>
      <c r="AA21" s="1980">
        <f>SUM(X48:X57)</f>
        <v>0</v>
      </c>
      <c r="AB21" s="1981">
        <f>10/6.17284</f>
        <v>1.6199998704000105</v>
      </c>
      <c r="AC21" s="1377">
        <f>AA21*AB21</f>
        <v>0</v>
      </c>
      <c r="AD21" s="1019"/>
      <c r="AE21" s="1019"/>
      <c r="AF21" s="583"/>
      <c r="AG21" s="583"/>
      <c r="AH21" s="574"/>
      <c r="AI21" s="574"/>
      <c r="AJ21" s="574"/>
      <c r="AK21" s="576"/>
      <c r="AL21" s="576"/>
      <c r="AM21" s="576"/>
      <c r="AN21" s="576"/>
      <c r="AO21" s="576"/>
      <c r="AP21" s="576"/>
      <c r="AQ21" s="576"/>
      <c r="AR21" s="160"/>
      <c r="AS21" s="1545"/>
      <c r="AT21" s="3188">
        <v>1</v>
      </c>
      <c r="AU21" s="3189"/>
      <c r="AV21" s="2343">
        <f t="shared" ref="AV21:AV26" si="5">AW21*(5/6)</f>
        <v>1.7611524981948188</v>
      </c>
      <c r="AW21" s="3174">
        <f>8*AT21/3.7854</f>
        <v>2.1133829978337824</v>
      </c>
      <c r="AX21" s="3175"/>
      <c r="AY21" s="1051"/>
      <c r="AZ21" s="2333"/>
      <c r="BA21" s="2333"/>
      <c r="BB21" s="1051"/>
      <c r="BC21" s="2486"/>
    </row>
    <row r="22" spans="1:55" s="1" customFormat="1" ht="16.5" customHeight="1">
      <c r="A22" s="37"/>
      <c r="B22" s="3369" t="s">
        <v>194</v>
      </c>
      <c r="C22" s="3361"/>
      <c r="D22" s="3361"/>
      <c r="E22" s="3370" t="s">
        <v>158</v>
      </c>
      <c r="F22" s="3370"/>
      <c r="G22" s="3370"/>
      <c r="H22" s="3370"/>
      <c r="I22" s="3370"/>
      <c r="J22" s="3370"/>
      <c r="K22" s="1051"/>
      <c r="L22" s="1019"/>
      <c r="M22" s="1932"/>
      <c r="N22" s="1932"/>
      <c r="O22" s="231">
        <v>3.15</v>
      </c>
      <c r="P22" s="3349" t="str">
        <f>"g = "&amp;FIXED((O22*0.035274),4)&amp;" oz"</f>
        <v>g = 0.1111 oz</v>
      </c>
      <c r="Q22" s="3349"/>
      <c r="R22" s="2515"/>
      <c r="S22" s="2515"/>
      <c r="T22" s="2544"/>
      <c r="U22" s="1051"/>
      <c r="V22" s="1051"/>
      <c r="W22" s="1051"/>
      <c r="X22" s="578"/>
      <c r="Y22" s="578"/>
      <c r="Z22" s="1377" t="s">
        <v>1591</v>
      </c>
      <c r="AA22" s="1980">
        <f>SUM(X60:X67)</f>
        <v>28.35</v>
      </c>
      <c r="AB22" s="1377">
        <v>1.07</v>
      </c>
      <c r="AC22" s="1377">
        <f>AA22*AB22</f>
        <v>30.334500000000002</v>
      </c>
      <c r="AD22" s="1019"/>
      <c r="AE22" s="1019"/>
      <c r="AF22" s="583"/>
      <c r="AG22" s="583"/>
      <c r="AH22" s="160"/>
      <c r="AI22" s="160"/>
      <c r="AJ22" s="160"/>
      <c r="AK22" s="576"/>
      <c r="AL22" s="576"/>
      <c r="AM22" s="576"/>
      <c r="AN22" s="576"/>
      <c r="AO22" s="576"/>
      <c r="AP22" s="576"/>
      <c r="AQ22" s="576"/>
      <c r="AR22" s="160"/>
      <c r="AS22" s="1545"/>
      <c r="AT22" s="3188">
        <v>2</v>
      </c>
      <c r="AU22" s="3189"/>
      <c r="AV22" s="2343">
        <f t="shared" si="5"/>
        <v>3.5223049963896376</v>
      </c>
      <c r="AW22" s="3174">
        <f t="shared" ref="AW22:AW26" si="6">8*AT22/3.7854</f>
        <v>4.2267659956675647</v>
      </c>
      <c r="AX22" s="3175"/>
      <c r="AY22" s="1051"/>
      <c r="AZ22" s="931"/>
      <c r="BA22" s="931"/>
      <c r="BB22" s="1051"/>
      <c r="BC22" s="2486"/>
    </row>
    <row r="23" spans="1:55" s="1" customFormat="1" ht="16.5" customHeight="1">
      <c r="A23" s="59"/>
      <c r="B23" s="32"/>
      <c r="C23" s="2583" t="s">
        <v>242</v>
      </c>
      <c r="D23" s="61">
        <v>23</v>
      </c>
      <c r="E23" s="3356" t="str">
        <f>" = "&amp;FIXED(D23*1.76)&amp;" UK pt. &amp; "&amp;FIXED(D23*1.76*6/5)&amp;" US pt."</f>
        <v xml:space="preserve"> = 40.48 UK pt. &amp; 48.58 US pt.</v>
      </c>
      <c r="F23" s="3356"/>
      <c r="G23" s="3356"/>
      <c r="H23" s="3356"/>
      <c r="I23" s="1051"/>
      <c r="J23" s="1051"/>
      <c r="K23" s="43"/>
      <c r="L23" s="1051"/>
      <c r="M23" s="1051"/>
      <c r="N23" s="3357" t="s">
        <v>391</v>
      </c>
      <c r="O23" s="3358"/>
      <c r="P23" s="3359"/>
      <c r="Q23" s="1019"/>
      <c r="R23" s="2515"/>
      <c r="S23" s="2515"/>
      <c r="T23" s="2544"/>
      <c r="U23" s="1051"/>
      <c r="V23" s="1051"/>
      <c r="W23" s="1051"/>
      <c r="X23" s="578"/>
      <c r="Y23" s="578"/>
      <c r="Z23" s="1982" t="s">
        <v>1592</v>
      </c>
      <c r="AA23" s="1980">
        <f>SUM(X70:X75)+D23*D76</f>
        <v>144.9</v>
      </c>
      <c r="AB23" s="1982">
        <v>1</v>
      </c>
      <c r="AC23" s="1982">
        <f>AA23*AB23</f>
        <v>144.9</v>
      </c>
      <c r="AD23" s="1019"/>
      <c r="AE23" s="1019"/>
      <c r="AF23" s="583"/>
      <c r="AG23" s="583"/>
      <c r="AH23" s="160"/>
      <c r="AI23" s="160"/>
      <c r="AJ23" s="160"/>
      <c r="AK23" s="576"/>
      <c r="AL23" s="576"/>
      <c r="AM23" s="576"/>
      <c r="AN23" s="576"/>
      <c r="AO23" s="576"/>
      <c r="AP23" s="576"/>
      <c r="AQ23" s="576"/>
      <c r="AR23" s="160"/>
      <c r="AS23" s="1545"/>
      <c r="AT23" s="3188">
        <v>3</v>
      </c>
      <c r="AU23" s="3189"/>
      <c r="AV23" s="2343">
        <f t="shared" si="5"/>
        <v>5.2834574945844563</v>
      </c>
      <c r="AW23" s="3174">
        <f t="shared" si="6"/>
        <v>6.3401489935013471</v>
      </c>
      <c r="AX23" s="3175"/>
      <c r="AY23" s="1051"/>
      <c r="AZ23" s="2333"/>
      <c r="BA23" s="2333"/>
      <c r="BB23" s="1051"/>
      <c r="BC23" s="2486"/>
    </row>
    <row r="24" spans="1:55" s="1" customFormat="1" ht="16.5" customHeight="1">
      <c r="A24" s="59"/>
      <c r="B24" s="32"/>
      <c r="C24" s="70" t="s">
        <v>197</v>
      </c>
      <c r="D24" s="62">
        <v>75</v>
      </c>
      <c r="E24" s="3360" t="s">
        <v>198</v>
      </c>
      <c r="F24" s="3361"/>
      <c r="G24" s="3361"/>
      <c r="H24" s="3361"/>
      <c r="I24" s="3361"/>
      <c r="J24" s="2515"/>
      <c r="K24" s="43"/>
      <c r="L24" s="58"/>
      <c r="M24" s="1074"/>
      <c r="N24" s="1718" t="s">
        <v>24</v>
      </c>
      <c r="O24" s="1718" t="s">
        <v>131</v>
      </c>
      <c r="P24" s="1718" t="s">
        <v>130</v>
      </c>
      <c r="Q24" s="1767"/>
      <c r="R24" s="2515"/>
      <c r="S24" s="2515"/>
      <c r="T24" s="2544"/>
      <c r="U24" s="1051"/>
      <c r="V24" s="1051"/>
      <c r="W24" s="1051"/>
      <c r="X24" s="578"/>
      <c r="Y24" s="578"/>
      <c r="Z24" s="1377"/>
      <c r="AA24" s="1980">
        <f>SUM(AA20:AA23)</f>
        <v>3603.6000000000004</v>
      </c>
      <c r="AB24" s="1377"/>
      <c r="AC24" s="1983">
        <f>SUM(AC18:AC23)</f>
        <v>4891.7888792107806</v>
      </c>
      <c r="AD24" s="1019"/>
      <c r="AE24" s="1019"/>
      <c r="AF24" s="583"/>
      <c r="AG24" s="583"/>
      <c r="AH24" s="160"/>
      <c r="AI24" s="160"/>
      <c r="AJ24" s="160"/>
      <c r="AK24" s="576"/>
      <c r="AL24" s="576"/>
      <c r="AM24" s="576"/>
      <c r="AN24" s="576"/>
      <c r="AO24" s="576"/>
      <c r="AP24" s="576"/>
      <c r="AQ24" s="576"/>
      <c r="AR24" s="160"/>
      <c r="AS24" s="1545"/>
      <c r="AT24" s="3188">
        <v>4</v>
      </c>
      <c r="AU24" s="3189"/>
      <c r="AV24" s="2343">
        <f t="shared" si="5"/>
        <v>7.0446099927792751</v>
      </c>
      <c r="AW24" s="3174">
        <f t="shared" si="6"/>
        <v>8.4535319913351294</v>
      </c>
      <c r="AX24" s="3175"/>
      <c r="AY24" s="1051"/>
      <c r="AZ24" s="2333"/>
      <c r="BA24" s="2333"/>
      <c r="BB24" s="1051"/>
      <c r="BC24" s="2486"/>
    </row>
    <row r="25" spans="1:55" s="1" customFormat="1" ht="16.5" customHeight="1">
      <c r="A25" s="59"/>
      <c r="B25" s="32"/>
      <c r="C25" s="353" t="s">
        <v>199</v>
      </c>
      <c r="D25" s="63">
        <v>20</v>
      </c>
      <c r="E25" s="3362" t="s">
        <v>1496</v>
      </c>
      <c r="F25" s="3361"/>
      <c r="G25" s="3361"/>
      <c r="H25" s="3361"/>
      <c r="I25" s="3361"/>
      <c r="J25" s="2515"/>
      <c r="K25" s="59"/>
      <c r="L25" s="59"/>
      <c r="M25" s="1074"/>
      <c r="N25" s="1721">
        <v>1</v>
      </c>
      <c r="O25" s="1720">
        <f>O22*N25*0.035274</f>
        <v>0.11111309999999999</v>
      </c>
      <c r="P25" s="1719">
        <f>N25*O22</f>
        <v>3.15</v>
      </c>
      <c r="Q25" s="1767"/>
      <c r="R25" s="2515"/>
      <c r="S25" s="2515"/>
      <c r="T25" s="2544"/>
      <c r="U25" s="1051"/>
      <c r="V25" s="1051"/>
      <c r="W25" s="1051"/>
      <c r="X25" s="578"/>
      <c r="Y25" s="578"/>
      <c r="Z25" s="1377"/>
      <c r="AA25" s="1377"/>
      <c r="AB25" s="1377"/>
      <c r="AC25" s="1377"/>
      <c r="AD25" s="1019"/>
      <c r="AE25" s="1019"/>
      <c r="AF25" s="583"/>
      <c r="AG25" s="583"/>
      <c r="AH25" s="160"/>
      <c r="AI25" s="160"/>
      <c r="AJ25" s="160"/>
      <c r="AK25" s="576"/>
      <c r="AL25" s="576"/>
      <c r="AM25" s="576"/>
      <c r="AN25" s="576"/>
      <c r="AO25" s="576"/>
      <c r="AP25" s="576"/>
      <c r="AQ25" s="576"/>
      <c r="AR25" s="160"/>
      <c r="AS25" s="1545"/>
      <c r="AT25" s="3188">
        <v>5</v>
      </c>
      <c r="AU25" s="3189"/>
      <c r="AV25" s="2343">
        <f t="shared" si="5"/>
        <v>8.8057624909740948</v>
      </c>
      <c r="AW25" s="3174">
        <f t="shared" si="6"/>
        <v>10.566914989168913</v>
      </c>
      <c r="AX25" s="3175"/>
      <c r="AY25" s="1051"/>
      <c r="AZ25" s="2333"/>
      <c r="BA25" s="2333"/>
      <c r="BB25" s="1051"/>
      <c r="BC25" s="2486"/>
    </row>
    <row r="26" spans="1:55" s="1" customFormat="1" ht="16.5" customHeight="1">
      <c r="A26" s="59"/>
      <c r="B26" s="32"/>
      <c r="C26" s="353"/>
      <c r="D26" s="353"/>
      <c r="E26" s="353"/>
      <c r="F26" s="353"/>
      <c r="G26" s="353"/>
      <c r="H26" s="353"/>
      <c r="I26" s="2515"/>
      <c r="J26" s="2515"/>
      <c r="K26" s="59"/>
      <c r="L26" s="59"/>
      <c r="M26" s="59"/>
      <c r="N26" s="59"/>
      <c r="O26" s="59"/>
      <c r="P26" s="2539"/>
      <c r="Q26" s="2539"/>
      <c r="R26" s="2515"/>
      <c r="S26" s="2515"/>
      <c r="T26" s="43"/>
      <c r="U26" s="1051"/>
      <c r="V26" s="1051"/>
      <c r="W26" s="1051"/>
      <c r="X26" s="578"/>
      <c r="Y26" s="578"/>
      <c r="Z26" s="1377"/>
      <c r="AA26" s="1377"/>
      <c r="AB26" s="1377"/>
      <c r="AC26" s="1984">
        <f>AC23/AC24</f>
        <v>2.9621065744639723E-2</v>
      </c>
      <c r="AD26" s="1019"/>
      <c r="AE26" s="1019"/>
      <c r="AF26" s="583"/>
      <c r="AG26" s="583"/>
      <c r="AH26" s="160"/>
      <c r="AI26" s="160"/>
      <c r="AJ26" s="160"/>
      <c r="AK26" s="576"/>
      <c r="AL26" s="576"/>
      <c r="AM26" s="576"/>
      <c r="AN26" s="576"/>
      <c r="AO26" s="576"/>
      <c r="AP26" s="576"/>
      <c r="AQ26" s="576"/>
      <c r="AR26" s="160"/>
      <c r="AS26" s="1545"/>
      <c r="AT26" s="3188">
        <v>10</v>
      </c>
      <c r="AU26" s="3189"/>
      <c r="AV26" s="2343">
        <f t="shared" si="5"/>
        <v>17.61152498194819</v>
      </c>
      <c r="AW26" s="3174">
        <f t="shared" si="6"/>
        <v>21.133829978337825</v>
      </c>
      <c r="AX26" s="3175"/>
      <c r="AY26" s="1051"/>
      <c r="AZ26" s="2333"/>
      <c r="BA26" s="2333"/>
      <c r="BB26" s="1051"/>
      <c r="BC26" s="2486"/>
    </row>
    <row r="27" spans="1:55" s="1" customFormat="1" ht="16.5" customHeight="1">
      <c r="A27" s="59"/>
      <c r="B27" s="3316" t="s">
        <v>1579</v>
      </c>
      <c r="C27" s="3316"/>
      <c r="D27" s="3316"/>
      <c r="E27" s="3316"/>
      <c r="F27" s="3316"/>
      <c r="G27" s="3316"/>
      <c r="H27" s="3316"/>
      <c r="I27" s="3316"/>
      <c r="J27" s="3317"/>
      <c r="K27" s="3320" t="s">
        <v>322</v>
      </c>
      <c r="L27" s="3320"/>
      <c r="M27" s="3320"/>
      <c r="N27" s="3320"/>
      <c r="O27" s="3320"/>
      <c r="P27" s="3320"/>
      <c r="Q27" s="3321" t="s">
        <v>325</v>
      </c>
      <c r="R27" s="3322"/>
      <c r="S27" s="3322"/>
      <c r="T27" s="43"/>
      <c r="U27" s="1051"/>
      <c r="V27" s="1051"/>
      <c r="W27" s="1051"/>
      <c r="X27" s="578"/>
      <c r="Y27" s="578"/>
      <c r="AD27" s="584"/>
      <c r="AE27" s="583"/>
      <c r="AF27" s="583"/>
      <c r="AG27" s="583"/>
      <c r="AH27" s="160"/>
      <c r="AI27" s="160"/>
      <c r="AJ27" s="160"/>
      <c r="AK27" s="576"/>
      <c r="AL27" s="576"/>
      <c r="AM27" s="576"/>
      <c r="AN27" s="576"/>
      <c r="AO27" s="576"/>
      <c r="AP27" s="576"/>
      <c r="AQ27" s="576"/>
      <c r="AR27" s="160"/>
      <c r="AS27" s="1051"/>
      <c r="AT27" s="2601"/>
      <c r="AU27" s="2601"/>
      <c r="AV27" s="1051"/>
      <c r="AW27" s="1051"/>
      <c r="AX27" s="1051"/>
      <c r="AY27" s="1051"/>
      <c r="AZ27" s="2333"/>
      <c r="BA27" s="2333"/>
      <c r="BB27" s="1051"/>
      <c r="BC27" s="2486"/>
    </row>
    <row r="28" spans="1:55" s="1" customFormat="1" ht="16.5" customHeight="1">
      <c r="A28" s="59"/>
      <c r="B28" s="3318"/>
      <c r="C28" s="3318"/>
      <c r="D28" s="3318"/>
      <c r="E28" s="3318"/>
      <c r="F28" s="3318"/>
      <c r="G28" s="3318"/>
      <c r="H28" s="3318"/>
      <c r="I28" s="3318"/>
      <c r="J28" s="3319"/>
      <c r="K28" s="3323" t="s">
        <v>1595</v>
      </c>
      <c r="L28" s="3324"/>
      <c r="M28" s="3324"/>
      <c r="N28" s="3324"/>
      <c r="O28" s="3324"/>
      <c r="P28" s="3325"/>
      <c r="Q28" s="3326" t="s">
        <v>1658</v>
      </c>
      <c r="R28" s="3327"/>
      <c r="S28" s="3328"/>
      <c r="T28" s="43"/>
      <c r="U28" s="1051"/>
      <c r="V28" s="1051"/>
      <c r="W28" s="1051"/>
      <c r="X28" s="578"/>
      <c r="Y28" s="578"/>
      <c r="Z28" s="573"/>
      <c r="AA28" s="573"/>
      <c r="AB28" s="573"/>
      <c r="AC28" s="573"/>
      <c r="AD28" s="573"/>
      <c r="AE28" s="573"/>
      <c r="AF28" s="573"/>
      <c r="AG28" s="573"/>
      <c r="AH28" s="573"/>
      <c r="AI28" s="573"/>
      <c r="AJ28" s="585"/>
      <c r="AK28" s="586"/>
      <c r="AL28" s="586"/>
      <c r="AM28" s="586"/>
      <c r="AN28" s="586"/>
      <c r="AO28" s="586"/>
      <c r="AP28" s="586"/>
      <c r="AQ28" s="586"/>
      <c r="AR28" s="160"/>
      <c r="AS28" s="3202" t="s">
        <v>1655</v>
      </c>
      <c r="AT28" s="3202"/>
      <c r="AU28" s="2330"/>
      <c r="AV28" s="2330"/>
      <c r="AW28" s="2341"/>
      <c r="AX28" s="2341"/>
      <c r="AY28" s="2357"/>
      <c r="AZ28" s="2356"/>
      <c r="BA28" s="2356"/>
      <c r="BB28" s="1051"/>
      <c r="BC28" s="2486"/>
    </row>
    <row r="29" spans="1:55" s="1" customFormat="1" ht="16.5" customHeight="1">
      <c r="A29" s="59"/>
      <c r="B29" s="3329" t="s">
        <v>1531</v>
      </c>
      <c r="C29" s="3330"/>
      <c r="D29" s="355"/>
      <c r="E29" s="355"/>
      <c r="F29" s="355"/>
      <c r="G29" s="356"/>
      <c r="H29" s="357"/>
      <c r="I29" s="3331"/>
      <c r="J29" s="3332"/>
      <c r="K29" s="3337" t="s">
        <v>201</v>
      </c>
      <c r="L29" s="3338"/>
      <c r="M29" s="3338"/>
      <c r="N29" s="3338"/>
      <c r="O29" s="3338"/>
      <c r="P29" s="3339"/>
      <c r="Q29" s="3337" t="s">
        <v>326</v>
      </c>
      <c r="R29" s="3338"/>
      <c r="S29" s="3339"/>
      <c r="T29" s="35"/>
      <c r="U29" s="1051"/>
      <c r="V29" s="1051"/>
      <c r="W29" s="1051"/>
      <c r="X29" s="578"/>
      <c r="Y29" s="578"/>
      <c r="Z29" s="583"/>
      <c r="AA29" s="583"/>
      <c r="AB29" s="583"/>
      <c r="AC29" s="583"/>
      <c r="AD29" s="584"/>
      <c r="AE29" s="583"/>
      <c r="AF29" s="583"/>
      <c r="AG29" s="583"/>
      <c r="AH29" s="585"/>
      <c r="AI29" s="585"/>
      <c r="AJ29" s="580"/>
      <c r="AK29" s="580"/>
      <c r="AL29" s="580"/>
      <c r="AM29" s="580"/>
      <c r="AN29" s="580"/>
      <c r="AO29" s="580"/>
      <c r="AP29" s="580"/>
      <c r="AQ29" s="573"/>
      <c r="AR29" s="573"/>
      <c r="AS29" s="1545"/>
      <c r="AT29" s="2332" t="s">
        <v>133</v>
      </c>
      <c r="AU29" s="2337"/>
      <c r="AV29" s="2491" t="s">
        <v>23</v>
      </c>
      <c r="AW29" s="3171" t="s">
        <v>1657</v>
      </c>
      <c r="AX29" s="3172"/>
      <c r="AY29" s="3173"/>
      <c r="AZ29" s="3171" t="s">
        <v>981</v>
      </c>
      <c r="BA29" s="3173"/>
      <c r="BB29" s="1051"/>
      <c r="BC29" s="2486"/>
    </row>
    <row r="30" spans="1:55" s="1" customFormat="1" ht="16.5" customHeight="1">
      <c r="A30" s="59"/>
      <c r="B30" s="1252"/>
      <c r="C30" s="2519"/>
      <c r="D30" s="2519"/>
      <c r="E30" s="2519"/>
      <c r="F30" s="2519"/>
      <c r="G30" s="2519"/>
      <c r="H30" s="350"/>
      <c r="I30" s="3333"/>
      <c r="J30" s="3334"/>
      <c r="K30" s="3340" t="s">
        <v>328</v>
      </c>
      <c r="L30" s="3341"/>
      <c r="M30" s="3342"/>
      <c r="N30" s="3343" t="s">
        <v>329</v>
      </c>
      <c r="O30" s="3335"/>
      <c r="P30" s="3336"/>
      <c r="Q30" s="3344" t="s">
        <v>327</v>
      </c>
      <c r="R30" s="3345"/>
      <c r="S30" s="3346"/>
      <c r="T30" s="35"/>
      <c r="U30" s="1051"/>
      <c r="V30" s="1051"/>
      <c r="W30" s="1051"/>
      <c r="X30" s="165" t="s">
        <v>232</v>
      </c>
      <c r="Y30" s="165" t="s">
        <v>232</v>
      </c>
      <c r="Z30" s="165" t="s">
        <v>232</v>
      </c>
      <c r="AA30" s="165" t="s">
        <v>232</v>
      </c>
      <c r="AB30" s="165" t="s">
        <v>232</v>
      </c>
      <c r="AC30" s="165" t="s">
        <v>232</v>
      </c>
      <c r="AD30" s="165" t="s">
        <v>232</v>
      </c>
      <c r="AE30" s="165" t="s">
        <v>232</v>
      </c>
      <c r="AF30" s="165" t="s">
        <v>232</v>
      </c>
      <c r="AG30" s="165" t="s">
        <v>232</v>
      </c>
      <c r="AH30" s="165" t="s">
        <v>232</v>
      </c>
      <c r="AI30" s="165" t="s">
        <v>232</v>
      </c>
      <c r="AJ30" s="166" t="s">
        <v>192</v>
      </c>
      <c r="AK30" s="166" t="s">
        <v>192</v>
      </c>
      <c r="AL30" s="166" t="s">
        <v>192</v>
      </c>
      <c r="AM30" s="166" t="s">
        <v>192</v>
      </c>
      <c r="AN30" s="166" t="s">
        <v>192</v>
      </c>
      <c r="AO30" s="166" t="s">
        <v>192</v>
      </c>
      <c r="AP30" s="166" t="s">
        <v>192</v>
      </c>
      <c r="AQ30" s="166" t="s">
        <v>192</v>
      </c>
      <c r="AR30" s="166" t="s">
        <v>192</v>
      </c>
      <c r="AS30" s="1545"/>
      <c r="AT30" s="2047">
        <v>1</v>
      </c>
      <c r="AU30" s="3176">
        <f t="shared" ref="AU30:AU33" si="7">16*AZ30</f>
        <v>3.5273368606701938E-2</v>
      </c>
      <c r="AV30" s="3177"/>
      <c r="AW30" s="3178" t="str">
        <f t="shared" ref="AW30:AW33" si="8">INT(AU30/16)&amp;" lb. "&amp;FIXED(AU30-16*INT(AU30/16),3)</f>
        <v>0 lb. 0.035</v>
      </c>
      <c r="AX30" s="3179"/>
      <c r="AY30" s="3180"/>
      <c r="AZ30" s="3181">
        <f t="shared" ref="AZ30:AZ35" si="9">AT30/(1000*0.4536)</f>
        <v>2.2045855379188711E-3</v>
      </c>
      <c r="BA30" s="3180"/>
      <c r="BB30" s="1051"/>
      <c r="BC30" s="2486"/>
    </row>
    <row r="31" spans="1:55" s="1" customFormat="1" ht="16.5" customHeight="1">
      <c r="A31" s="59"/>
      <c r="B31" s="3347" t="s">
        <v>200</v>
      </c>
      <c r="C31" s="2998"/>
      <c r="D31" s="3348" t="s">
        <v>288</v>
      </c>
      <c r="E31" s="3348"/>
      <c r="F31" s="2519"/>
      <c r="G31" s="2518"/>
      <c r="H31" s="2067" t="s">
        <v>142</v>
      </c>
      <c r="I31" s="3335"/>
      <c r="J31" s="3336"/>
      <c r="K31" s="3312" t="s">
        <v>29</v>
      </c>
      <c r="L31" s="3308" t="s">
        <v>1597</v>
      </c>
      <c r="M31" s="3310" t="s">
        <v>1598</v>
      </c>
      <c r="N31" s="3312" t="s">
        <v>29</v>
      </c>
      <c r="O31" s="3308" t="s">
        <v>1597</v>
      </c>
      <c r="P31" s="3310" t="s">
        <v>1598</v>
      </c>
      <c r="Q31" s="3312" t="s">
        <v>29</v>
      </c>
      <c r="R31" s="3308" t="s">
        <v>1597</v>
      </c>
      <c r="S31" s="3310" t="s">
        <v>1598</v>
      </c>
      <c r="T31" s="35"/>
      <c r="U31" s="1051"/>
      <c r="V31" s="1051"/>
      <c r="W31" s="1051"/>
      <c r="X31" s="352"/>
      <c r="Y31" s="352"/>
      <c r="Z31" s="358" t="s">
        <v>203</v>
      </c>
      <c r="AA31" s="358" t="s">
        <v>204</v>
      </c>
      <c r="AB31" s="358" t="s">
        <v>205</v>
      </c>
      <c r="AC31" s="359" t="s">
        <v>206</v>
      </c>
      <c r="AD31" s="6" t="s">
        <v>207</v>
      </c>
      <c r="AE31" s="7" t="s">
        <v>208</v>
      </c>
      <c r="AF31" s="360" t="s">
        <v>205</v>
      </c>
      <c r="AG31" s="361" t="s">
        <v>206</v>
      </c>
      <c r="AH31" s="354"/>
      <c r="AI31" s="339"/>
      <c r="AJ31" s="362" t="s">
        <v>211</v>
      </c>
      <c r="AK31" s="363"/>
      <c r="AL31" s="364"/>
      <c r="AM31" s="365" t="s">
        <v>212</v>
      </c>
      <c r="AN31" s="363"/>
      <c r="AO31" s="364"/>
      <c r="AP31" s="366" t="s">
        <v>220</v>
      </c>
      <c r="AQ31" s="367"/>
      <c r="AR31" s="368"/>
      <c r="AS31" s="1545"/>
      <c r="AT31" s="2047">
        <v>35</v>
      </c>
      <c r="AU31" s="3176">
        <f t="shared" si="7"/>
        <v>1.2345679012345678</v>
      </c>
      <c r="AV31" s="3177"/>
      <c r="AW31" s="3178" t="str">
        <f t="shared" si="8"/>
        <v>0 lb. 1.235</v>
      </c>
      <c r="AX31" s="3179"/>
      <c r="AY31" s="3180"/>
      <c r="AZ31" s="3181">
        <f t="shared" si="9"/>
        <v>7.716049382716049E-2</v>
      </c>
      <c r="BA31" s="3180"/>
      <c r="BB31" s="1051"/>
      <c r="BC31" s="2486"/>
    </row>
    <row r="32" spans="1:55" s="1" customFormat="1" ht="16.5" customHeight="1">
      <c r="A32" s="59"/>
      <c r="B32" s="2509"/>
      <c r="C32" s="369" t="s">
        <v>259</v>
      </c>
      <c r="D32" s="546" t="s">
        <v>22</v>
      </c>
      <c r="E32" s="547" t="s">
        <v>23</v>
      </c>
      <c r="F32" s="370" t="s">
        <v>34</v>
      </c>
      <c r="G32" s="2068" t="s">
        <v>209</v>
      </c>
      <c r="H32" s="2069" t="s">
        <v>210</v>
      </c>
      <c r="I32" s="210" t="s">
        <v>202</v>
      </c>
      <c r="J32" s="1599" t="s">
        <v>975</v>
      </c>
      <c r="K32" s="3313"/>
      <c r="L32" s="3309"/>
      <c r="M32" s="3311"/>
      <c r="N32" s="3313"/>
      <c r="O32" s="3309"/>
      <c r="P32" s="3311"/>
      <c r="Q32" s="3313"/>
      <c r="R32" s="3309"/>
      <c r="S32" s="3311"/>
      <c r="T32" s="35"/>
      <c r="U32" s="1051"/>
      <c r="V32" s="1051"/>
      <c r="W32" s="1051"/>
      <c r="X32" s="352"/>
      <c r="Y32" s="352"/>
      <c r="Z32" s="358" t="s">
        <v>213</v>
      </c>
      <c r="AA32" s="358" t="s">
        <v>214</v>
      </c>
      <c r="AB32" s="358" t="s">
        <v>215</v>
      </c>
      <c r="AC32" s="359" t="s">
        <v>216</v>
      </c>
      <c r="AD32" s="9"/>
      <c r="AE32" s="7"/>
      <c r="AF32" s="7"/>
      <c r="AG32" s="53"/>
      <c r="AH32" s="371"/>
      <c r="AI32" s="339"/>
      <c r="AJ32" s="372" t="s">
        <v>217</v>
      </c>
      <c r="AK32" s="373" t="s">
        <v>218</v>
      </c>
      <c r="AL32" s="373" t="s">
        <v>219</v>
      </c>
      <c r="AM32" s="373" t="s">
        <v>217</v>
      </c>
      <c r="AN32" s="373" t="s">
        <v>218</v>
      </c>
      <c r="AO32" s="374" t="s">
        <v>219</v>
      </c>
      <c r="AP32" s="374" t="s">
        <v>217</v>
      </c>
      <c r="AQ32" s="375" t="s">
        <v>218</v>
      </c>
      <c r="AR32" s="375" t="s">
        <v>219</v>
      </c>
      <c r="AS32" s="1545"/>
      <c r="AT32" s="2047">
        <v>50</v>
      </c>
      <c r="AU32" s="3176">
        <f t="shared" si="7"/>
        <v>1.7636684303350969</v>
      </c>
      <c r="AV32" s="3177"/>
      <c r="AW32" s="3178" t="str">
        <f t="shared" si="8"/>
        <v>0 lb. 1.764</v>
      </c>
      <c r="AX32" s="3179"/>
      <c r="AY32" s="3180"/>
      <c r="AZ32" s="3181">
        <f t="shared" si="9"/>
        <v>0.11022927689594356</v>
      </c>
      <c r="BA32" s="3180"/>
      <c r="BB32" s="1051"/>
      <c r="BC32" s="2486"/>
    </row>
    <row r="33" spans="1:55" s="1" customFormat="1" ht="16.5" customHeight="1">
      <c r="A33" s="59"/>
      <c r="B33" s="2509"/>
      <c r="C33" s="2809" t="str">
        <f t="shared" ref="C33:C39" si="10">C115</f>
        <v>Extra Light</v>
      </c>
      <c r="D33" s="548"/>
      <c r="E33" s="549"/>
      <c r="F33" s="228" t="str">
        <f t="shared" ref="F33:F39" si="11">1*FIXED(X33,0)&amp;"g"</f>
        <v>0g</v>
      </c>
      <c r="G33" s="2070">
        <f t="shared" ref="G33:G39" si="12">100*IF(X33=0,0,X33/X$77)</f>
        <v>0</v>
      </c>
      <c r="H33" s="2071">
        <f t="shared" ref="H33:H39" si="13">IF(AD33=0,0,AD33*100/$AD$77)</f>
        <v>0</v>
      </c>
      <c r="I33" s="1335" t="s">
        <v>799</v>
      </c>
      <c r="J33" s="543">
        <v>14.5</v>
      </c>
      <c r="K33" s="1296"/>
      <c r="L33" s="1297"/>
      <c r="M33" s="1298"/>
      <c r="N33" s="1306">
        <f t="shared" ref="N33:P48" si="14">K33</f>
        <v>0</v>
      </c>
      <c r="O33" s="1307">
        <f t="shared" si="14"/>
        <v>0</v>
      </c>
      <c r="P33" s="1308">
        <f t="shared" si="14"/>
        <v>0</v>
      </c>
      <c r="Q33" s="1296"/>
      <c r="R33" s="1297"/>
      <c r="S33" s="1298"/>
      <c r="T33" s="35"/>
      <c r="U33" s="1051"/>
      <c r="V33" s="1051"/>
      <c r="W33" s="1051"/>
      <c r="X33" s="1020">
        <f t="shared" ref="X33:X39" si="15">453.6*(D33+E33/16)</f>
        <v>0</v>
      </c>
      <c r="Y33" s="60" t="s">
        <v>141</v>
      </c>
      <c r="Z33" s="359">
        <f t="shared" ref="Z33:Z39" si="16">D115</f>
        <v>310</v>
      </c>
      <c r="AA33" s="359">
        <f t="shared" ref="AA33:AA39" si="17">F115</f>
        <v>0.62</v>
      </c>
      <c r="AB33" s="359">
        <f t="shared" ref="AB33:AC39" si="18">I115</f>
        <v>5.5</v>
      </c>
      <c r="AC33" s="359">
        <f t="shared" si="18"/>
        <v>0</v>
      </c>
      <c r="AD33" s="9">
        <f t="shared" ref="AD33:AD39" si="19">0.001*X33*Z33</f>
        <v>0</v>
      </c>
      <c r="AE33" s="7">
        <f t="shared" ref="AE33:AE39" si="20">AD33*$AA33</f>
        <v>0</v>
      </c>
      <c r="AF33" s="7">
        <f t="shared" ref="AF33:AF39" si="21">0.01*X33*AB33</f>
        <v>0</v>
      </c>
      <c r="AG33" s="53"/>
      <c r="AH33" s="1021"/>
      <c r="AI33" s="339"/>
      <c r="AJ33" s="1022">
        <f t="shared" ref="AJ33:AR48" si="22">$J33*K33</f>
        <v>0</v>
      </c>
      <c r="AK33" s="1023">
        <f t="shared" si="22"/>
        <v>0</v>
      </c>
      <c r="AL33" s="1023">
        <f t="shared" si="22"/>
        <v>0</v>
      </c>
      <c r="AM33" s="1023">
        <f t="shared" si="22"/>
        <v>0</v>
      </c>
      <c r="AN33" s="1023">
        <f t="shared" si="22"/>
        <v>0</v>
      </c>
      <c r="AO33" s="1023">
        <f t="shared" si="22"/>
        <v>0</v>
      </c>
      <c r="AP33" s="1023">
        <f t="shared" si="22"/>
        <v>0</v>
      </c>
      <c r="AQ33" s="1023">
        <f t="shared" si="22"/>
        <v>0</v>
      </c>
      <c r="AR33" s="1023">
        <f t="shared" si="22"/>
        <v>0</v>
      </c>
      <c r="AS33" s="1545"/>
      <c r="AT33" s="2047">
        <v>100</v>
      </c>
      <c r="AU33" s="3176">
        <f t="shared" si="7"/>
        <v>3.5273368606701938</v>
      </c>
      <c r="AV33" s="3177"/>
      <c r="AW33" s="3178" t="str">
        <f t="shared" si="8"/>
        <v>0 lb. 3.527</v>
      </c>
      <c r="AX33" s="3179"/>
      <c r="AY33" s="3180"/>
      <c r="AZ33" s="3181">
        <f t="shared" si="9"/>
        <v>0.22045855379188711</v>
      </c>
      <c r="BA33" s="3180"/>
      <c r="BB33" s="1051"/>
      <c r="BC33" s="2486"/>
    </row>
    <row r="34" spans="1:55" s="1" customFormat="1" ht="16.5" customHeight="1">
      <c r="A34" s="59"/>
      <c r="B34" s="2509"/>
      <c r="C34" s="2809" t="str">
        <f t="shared" si="10"/>
        <v>Light</v>
      </c>
      <c r="D34" s="1164" t="s">
        <v>1486</v>
      </c>
      <c r="E34" s="1165" t="s">
        <v>1487</v>
      </c>
      <c r="F34" s="228" t="str">
        <f t="shared" si="11"/>
        <v>3430g</v>
      </c>
      <c r="G34" s="2070">
        <f t="shared" si="12"/>
        <v>95.192307692307693</v>
      </c>
      <c r="H34" s="2071">
        <f t="shared" si="13"/>
        <v>94.625645122297328</v>
      </c>
      <c r="I34" s="1336" t="s">
        <v>221</v>
      </c>
      <c r="J34" s="544">
        <v>6.2</v>
      </c>
      <c r="K34" s="1299"/>
      <c r="L34" s="1300"/>
      <c r="M34" s="1301"/>
      <c r="N34" s="1309">
        <f t="shared" si="14"/>
        <v>0</v>
      </c>
      <c r="O34" s="1310">
        <f t="shared" si="14"/>
        <v>0</v>
      </c>
      <c r="P34" s="1311">
        <f t="shared" si="14"/>
        <v>0</v>
      </c>
      <c r="Q34" s="1299"/>
      <c r="R34" s="1300"/>
      <c r="S34" s="1301"/>
      <c r="T34" s="35"/>
      <c r="U34" s="1051"/>
      <c r="V34" s="1051"/>
      <c r="W34" s="1051"/>
      <c r="X34" s="1020">
        <f t="shared" si="15"/>
        <v>3430.3500000000004</v>
      </c>
      <c r="Y34" s="60" t="s">
        <v>141</v>
      </c>
      <c r="Z34" s="359">
        <f t="shared" si="16"/>
        <v>310</v>
      </c>
      <c r="AA34" s="359">
        <f t="shared" si="17"/>
        <v>0.62</v>
      </c>
      <c r="AB34" s="359">
        <f t="shared" si="18"/>
        <v>10</v>
      </c>
      <c r="AC34" s="359">
        <f t="shared" si="18"/>
        <v>0</v>
      </c>
      <c r="AD34" s="9">
        <f t="shared" si="19"/>
        <v>1063.4085</v>
      </c>
      <c r="AE34" s="7">
        <f t="shared" si="20"/>
        <v>659.31326999999999</v>
      </c>
      <c r="AF34" s="7">
        <f t="shared" si="21"/>
        <v>343.03500000000008</v>
      </c>
      <c r="AG34" s="53"/>
      <c r="AH34" s="1021"/>
      <c r="AI34" s="339"/>
      <c r="AJ34" s="1022">
        <f t="shared" si="22"/>
        <v>0</v>
      </c>
      <c r="AK34" s="1023">
        <f t="shared" si="22"/>
        <v>0</v>
      </c>
      <c r="AL34" s="1023">
        <f t="shared" si="22"/>
        <v>0</v>
      </c>
      <c r="AM34" s="1023">
        <f t="shared" si="22"/>
        <v>0</v>
      </c>
      <c r="AN34" s="1023">
        <f t="shared" si="22"/>
        <v>0</v>
      </c>
      <c r="AO34" s="1023">
        <f t="shared" si="22"/>
        <v>0</v>
      </c>
      <c r="AP34" s="1023">
        <f t="shared" si="22"/>
        <v>0</v>
      </c>
      <c r="AQ34" s="1023">
        <f t="shared" si="22"/>
        <v>0</v>
      </c>
      <c r="AR34" s="1023">
        <f t="shared" si="22"/>
        <v>0</v>
      </c>
      <c r="AS34" s="1545"/>
      <c r="AT34" s="2047">
        <v>500</v>
      </c>
      <c r="AU34" s="3203">
        <f>16*AZ34</f>
        <v>17.636684303350968</v>
      </c>
      <c r="AV34" s="3204"/>
      <c r="AW34" s="3178" t="str">
        <f>INT(AU34/16)&amp;" lb. "&amp;FIXED(AU34-16*INT(AU34/16),3)</f>
        <v>1 lb. 1.637</v>
      </c>
      <c r="AX34" s="3179"/>
      <c r="AY34" s="3180"/>
      <c r="AZ34" s="3181">
        <f t="shared" si="9"/>
        <v>1.1022927689594355</v>
      </c>
      <c r="BA34" s="3180"/>
      <c r="BB34" s="1051"/>
      <c r="BC34" s="2486"/>
    </row>
    <row r="35" spans="1:55" s="1" customFormat="1" ht="16.5" customHeight="1">
      <c r="A35" s="59"/>
      <c r="B35" s="2509"/>
      <c r="C35" s="2809" t="str">
        <f t="shared" si="10"/>
        <v>Amber</v>
      </c>
      <c r="D35" s="548"/>
      <c r="E35" s="549"/>
      <c r="F35" s="228" t="str">
        <f t="shared" si="11"/>
        <v>0g</v>
      </c>
      <c r="G35" s="2070">
        <f t="shared" si="12"/>
        <v>0</v>
      </c>
      <c r="H35" s="2071">
        <f t="shared" si="13"/>
        <v>0</v>
      </c>
      <c r="I35" s="1336" t="s">
        <v>222</v>
      </c>
      <c r="J35" s="544">
        <v>8</v>
      </c>
      <c r="K35" s="1299"/>
      <c r="L35" s="1300"/>
      <c r="M35" s="1301"/>
      <c r="N35" s="1309">
        <f t="shared" si="14"/>
        <v>0</v>
      </c>
      <c r="O35" s="1310">
        <f t="shared" si="14"/>
        <v>0</v>
      </c>
      <c r="P35" s="1311">
        <f t="shared" si="14"/>
        <v>0</v>
      </c>
      <c r="Q35" s="1299"/>
      <c r="R35" s="1300"/>
      <c r="S35" s="1301"/>
      <c r="T35" s="35"/>
      <c r="U35" s="1051"/>
      <c r="V35" s="1051"/>
      <c r="W35" s="1051"/>
      <c r="X35" s="1020">
        <f t="shared" si="15"/>
        <v>0</v>
      </c>
      <c r="Y35" s="60" t="s">
        <v>141</v>
      </c>
      <c r="Z35" s="359">
        <f t="shared" si="16"/>
        <v>310</v>
      </c>
      <c r="AA35" s="359">
        <f t="shared" si="17"/>
        <v>0.62</v>
      </c>
      <c r="AB35" s="359">
        <f t="shared" si="18"/>
        <v>18</v>
      </c>
      <c r="AC35" s="359">
        <f t="shared" si="18"/>
        <v>0</v>
      </c>
      <c r="AD35" s="9">
        <f t="shared" si="19"/>
        <v>0</v>
      </c>
      <c r="AE35" s="7">
        <f t="shared" si="20"/>
        <v>0</v>
      </c>
      <c r="AF35" s="7">
        <f t="shared" si="21"/>
        <v>0</v>
      </c>
      <c r="AG35" s="53"/>
      <c r="AH35" s="1021"/>
      <c r="AI35" s="339"/>
      <c r="AJ35" s="1022">
        <f t="shared" si="22"/>
        <v>0</v>
      </c>
      <c r="AK35" s="1023">
        <f t="shared" si="22"/>
        <v>0</v>
      </c>
      <c r="AL35" s="1023">
        <f t="shared" si="22"/>
        <v>0</v>
      </c>
      <c r="AM35" s="1023">
        <f t="shared" si="22"/>
        <v>0</v>
      </c>
      <c r="AN35" s="1023">
        <f t="shared" si="22"/>
        <v>0</v>
      </c>
      <c r="AO35" s="1023">
        <f t="shared" si="22"/>
        <v>0</v>
      </c>
      <c r="AP35" s="1023">
        <f t="shared" si="22"/>
        <v>0</v>
      </c>
      <c r="AQ35" s="1023">
        <f t="shared" si="22"/>
        <v>0</v>
      </c>
      <c r="AR35" s="1023">
        <f t="shared" si="22"/>
        <v>0</v>
      </c>
      <c r="AS35" s="1545"/>
      <c r="AT35" s="2047">
        <v>750</v>
      </c>
      <c r="AU35" s="3203">
        <f>16*AZ35</f>
        <v>26.455026455026452</v>
      </c>
      <c r="AV35" s="3204"/>
      <c r="AW35" s="3178" t="str">
        <f>INT(AU35/16)&amp;" lb. "&amp;FIXED(AU35-16*INT(AU35/16),3)</f>
        <v>1 lb. 10.455</v>
      </c>
      <c r="AX35" s="3179"/>
      <c r="AY35" s="3180"/>
      <c r="AZ35" s="3181">
        <f t="shared" si="9"/>
        <v>1.6534391534391533</v>
      </c>
      <c r="BA35" s="3180"/>
      <c r="BB35" s="1051"/>
      <c r="BC35" s="2486"/>
    </row>
    <row r="36" spans="1:55" s="1" customFormat="1" ht="16.5" customHeight="1">
      <c r="A36" s="59"/>
      <c r="B36" s="2509"/>
      <c r="C36" s="2809" t="str">
        <f t="shared" si="10"/>
        <v>Dark</v>
      </c>
      <c r="D36" s="1164"/>
      <c r="E36" s="549"/>
      <c r="F36" s="228" t="str">
        <f t="shared" si="11"/>
        <v>0g</v>
      </c>
      <c r="G36" s="2070">
        <f t="shared" si="12"/>
        <v>0</v>
      </c>
      <c r="H36" s="2071">
        <f t="shared" si="13"/>
        <v>0</v>
      </c>
      <c r="I36" s="1336" t="s">
        <v>800</v>
      </c>
      <c r="J36" s="544">
        <v>7.4</v>
      </c>
      <c r="K36" s="1299"/>
      <c r="L36" s="1300"/>
      <c r="M36" s="1301"/>
      <c r="N36" s="1309">
        <f t="shared" si="14"/>
        <v>0</v>
      </c>
      <c r="O36" s="1310">
        <f t="shared" si="14"/>
        <v>0</v>
      </c>
      <c r="P36" s="1311">
        <f t="shared" si="14"/>
        <v>0</v>
      </c>
      <c r="Q36" s="1299"/>
      <c r="R36" s="1300"/>
      <c r="S36" s="1301"/>
      <c r="T36" s="35"/>
      <c r="U36" s="1051"/>
      <c r="V36" s="1051"/>
      <c r="W36" s="1051"/>
      <c r="X36" s="1020">
        <f t="shared" si="15"/>
        <v>0</v>
      </c>
      <c r="Y36" s="60" t="s">
        <v>141</v>
      </c>
      <c r="Z36" s="359">
        <f t="shared" si="16"/>
        <v>310</v>
      </c>
      <c r="AA36" s="359">
        <f t="shared" si="17"/>
        <v>0.62</v>
      </c>
      <c r="AB36" s="359">
        <f t="shared" si="18"/>
        <v>55</v>
      </c>
      <c r="AC36" s="359">
        <f t="shared" si="18"/>
        <v>0</v>
      </c>
      <c r="AD36" s="9">
        <f t="shared" si="19"/>
        <v>0</v>
      </c>
      <c r="AE36" s="7">
        <f t="shared" si="20"/>
        <v>0</v>
      </c>
      <c r="AF36" s="7">
        <f t="shared" si="21"/>
        <v>0</v>
      </c>
      <c r="AG36" s="53"/>
      <c r="AH36" s="1021"/>
      <c r="AI36" s="339"/>
      <c r="AJ36" s="1022">
        <f t="shared" si="22"/>
        <v>0</v>
      </c>
      <c r="AK36" s="1023">
        <f t="shared" si="22"/>
        <v>0</v>
      </c>
      <c r="AL36" s="1023">
        <f t="shared" si="22"/>
        <v>0</v>
      </c>
      <c r="AM36" s="1023">
        <f t="shared" si="22"/>
        <v>0</v>
      </c>
      <c r="AN36" s="1023">
        <f t="shared" si="22"/>
        <v>0</v>
      </c>
      <c r="AO36" s="1023">
        <f t="shared" si="22"/>
        <v>0</v>
      </c>
      <c r="AP36" s="1023">
        <f t="shared" si="22"/>
        <v>0</v>
      </c>
      <c r="AQ36" s="1023">
        <f t="shared" si="22"/>
        <v>0</v>
      </c>
      <c r="AR36" s="1023">
        <f t="shared" si="22"/>
        <v>0</v>
      </c>
      <c r="AS36" s="1545"/>
      <c r="AT36" s="2331"/>
      <c r="AU36" s="2331"/>
      <c r="AV36" s="2331"/>
      <c r="AW36" s="2331"/>
      <c r="AX36" s="2331"/>
      <c r="AY36" s="2331"/>
      <c r="AZ36" s="2333"/>
      <c r="BA36" s="2333"/>
      <c r="BB36" s="1051"/>
      <c r="BC36" s="2486"/>
    </row>
    <row r="37" spans="1:55" s="1" customFormat="1" ht="16.5" customHeight="1">
      <c r="A37" s="59"/>
      <c r="B37" s="2509"/>
      <c r="C37" s="2809" t="str">
        <f t="shared" si="10"/>
        <v>Extra dark</v>
      </c>
      <c r="D37" s="548"/>
      <c r="E37" s="549"/>
      <c r="F37" s="228" t="str">
        <f t="shared" si="11"/>
        <v>0g</v>
      </c>
      <c r="G37" s="2070">
        <f t="shared" si="12"/>
        <v>0</v>
      </c>
      <c r="H37" s="2071">
        <f t="shared" si="13"/>
        <v>0</v>
      </c>
      <c r="I37" s="1336" t="s">
        <v>223</v>
      </c>
      <c r="J37" s="544">
        <v>7.5</v>
      </c>
      <c r="K37" s="1299"/>
      <c r="L37" s="1300"/>
      <c r="M37" s="1301"/>
      <c r="N37" s="1309">
        <f t="shared" si="14"/>
        <v>0</v>
      </c>
      <c r="O37" s="1310">
        <f t="shared" si="14"/>
        <v>0</v>
      </c>
      <c r="P37" s="1311">
        <f t="shared" si="14"/>
        <v>0</v>
      </c>
      <c r="Q37" s="1299"/>
      <c r="R37" s="1300"/>
      <c r="S37" s="1301"/>
      <c r="T37" s="35"/>
      <c r="U37" s="1051"/>
      <c r="V37" s="1051"/>
      <c r="W37" s="1051"/>
      <c r="X37" s="1020">
        <f t="shared" si="15"/>
        <v>0</v>
      </c>
      <c r="Y37" s="60" t="s">
        <v>141</v>
      </c>
      <c r="Z37" s="359">
        <f t="shared" si="16"/>
        <v>310</v>
      </c>
      <c r="AA37" s="359">
        <f t="shared" si="17"/>
        <v>0.62</v>
      </c>
      <c r="AB37" s="359">
        <f t="shared" si="18"/>
        <v>95</v>
      </c>
      <c r="AC37" s="359">
        <f t="shared" si="18"/>
        <v>0</v>
      </c>
      <c r="AD37" s="9">
        <f t="shared" si="19"/>
        <v>0</v>
      </c>
      <c r="AE37" s="7">
        <f t="shared" si="20"/>
        <v>0</v>
      </c>
      <c r="AF37" s="7">
        <f t="shared" si="21"/>
        <v>0</v>
      </c>
      <c r="AG37" s="53"/>
      <c r="AH37" s="1021"/>
      <c r="AI37" s="339"/>
      <c r="AJ37" s="1022">
        <f t="shared" si="22"/>
        <v>0</v>
      </c>
      <c r="AK37" s="1023">
        <f t="shared" si="22"/>
        <v>0</v>
      </c>
      <c r="AL37" s="1023">
        <f t="shared" si="22"/>
        <v>0</v>
      </c>
      <c r="AM37" s="1023">
        <f t="shared" si="22"/>
        <v>0</v>
      </c>
      <c r="AN37" s="1023">
        <f t="shared" si="22"/>
        <v>0</v>
      </c>
      <c r="AO37" s="1023">
        <f t="shared" si="22"/>
        <v>0</v>
      </c>
      <c r="AP37" s="1023">
        <f t="shared" si="22"/>
        <v>0</v>
      </c>
      <c r="AQ37" s="1023">
        <f t="shared" si="22"/>
        <v>0</v>
      </c>
      <c r="AR37" s="1023">
        <f t="shared" si="22"/>
        <v>0</v>
      </c>
      <c r="AS37" s="1545"/>
      <c r="AT37" s="3314" t="s">
        <v>981</v>
      </c>
      <c r="AU37" s="3315"/>
      <c r="AV37" s="2334" t="s">
        <v>23</v>
      </c>
      <c r="AW37" s="3191" t="s">
        <v>23</v>
      </c>
      <c r="AX37" s="3192"/>
      <c r="AY37" s="2494" t="s">
        <v>133</v>
      </c>
      <c r="AZ37" s="2333"/>
      <c r="BA37" s="2333"/>
      <c r="BB37" s="1051"/>
      <c r="BC37" s="2486"/>
    </row>
    <row r="38" spans="1:55" s="1" customFormat="1" ht="16.5" customHeight="1">
      <c r="A38" s="59"/>
      <c r="B38" s="2509"/>
      <c r="C38" s="2809" t="str">
        <f t="shared" si="10"/>
        <v>Wheat (55%)</v>
      </c>
      <c r="D38" s="548"/>
      <c r="E38" s="549"/>
      <c r="F38" s="228" t="str">
        <f t="shared" si="11"/>
        <v>0g</v>
      </c>
      <c r="G38" s="2070">
        <f t="shared" si="12"/>
        <v>0</v>
      </c>
      <c r="H38" s="2071">
        <f t="shared" si="13"/>
        <v>0</v>
      </c>
      <c r="I38" s="1336" t="s">
        <v>224</v>
      </c>
      <c r="J38" s="544">
        <v>5.5</v>
      </c>
      <c r="K38" s="1299"/>
      <c r="L38" s="1300"/>
      <c r="M38" s="1301"/>
      <c r="N38" s="1309">
        <f t="shared" si="14"/>
        <v>0</v>
      </c>
      <c r="O38" s="1310">
        <f t="shared" si="14"/>
        <v>0</v>
      </c>
      <c r="P38" s="1311">
        <f t="shared" si="14"/>
        <v>0</v>
      </c>
      <c r="Q38" s="1299"/>
      <c r="R38" s="1300"/>
      <c r="S38" s="1301"/>
      <c r="T38" s="35"/>
      <c r="U38" s="1051"/>
      <c r="V38" s="1051"/>
      <c r="W38" s="1051"/>
      <c r="X38" s="1020">
        <f t="shared" si="15"/>
        <v>0</v>
      </c>
      <c r="Y38" s="60" t="s">
        <v>141</v>
      </c>
      <c r="Z38" s="359">
        <f t="shared" si="16"/>
        <v>310</v>
      </c>
      <c r="AA38" s="359">
        <f t="shared" si="17"/>
        <v>0.62</v>
      </c>
      <c r="AB38" s="359">
        <f t="shared" si="18"/>
        <v>9</v>
      </c>
      <c r="AC38" s="359">
        <f t="shared" si="18"/>
        <v>0</v>
      </c>
      <c r="AD38" s="9">
        <f t="shared" si="19"/>
        <v>0</v>
      </c>
      <c r="AE38" s="7">
        <f t="shared" si="20"/>
        <v>0</v>
      </c>
      <c r="AF38" s="7">
        <f t="shared" si="21"/>
        <v>0</v>
      </c>
      <c r="AG38" s="53"/>
      <c r="AH38" s="1021"/>
      <c r="AI38" s="339"/>
      <c r="AJ38" s="1022">
        <f t="shared" si="22"/>
        <v>0</v>
      </c>
      <c r="AK38" s="1023">
        <f t="shared" si="22"/>
        <v>0</v>
      </c>
      <c r="AL38" s="1023">
        <f t="shared" si="22"/>
        <v>0</v>
      </c>
      <c r="AM38" s="1023">
        <f t="shared" si="22"/>
        <v>0</v>
      </c>
      <c r="AN38" s="1023">
        <f t="shared" si="22"/>
        <v>0</v>
      </c>
      <c r="AO38" s="1023">
        <f t="shared" si="22"/>
        <v>0</v>
      </c>
      <c r="AP38" s="1023">
        <f t="shared" si="22"/>
        <v>0</v>
      </c>
      <c r="AQ38" s="1023">
        <f t="shared" si="22"/>
        <v>0</v>
      </c>
      <c r="AR38" s="1023">
        <f t="shared" si="22"/>
        <v>0</v>
      </c>
      <c r="AS38" s="1545"/>
      <c r="AT38" s="3182"/>
      <c r="AU38" s="3183"/>
      <c r="AV38" s="2335">
        <v>8</v>
      </c>
      <c r="AW38" s="3184">
        <f>AT38*16+AV38</f>
        <v>8</v>
      </c>
      <c r="AX38" s="3185"/>
      <c r="AY38" s="2336">
        <f>1000*(AU38+AW38/16)*0.4536</f>
        <v>226.8</v>
      </c>
      <c r="AZ38" s="2333"/>
      <c r="BA38" s="2333"/>
      <c r="BB38" s="1051"/>
      <c r="BC38" s="2486"/>
    </row>
    <row r="39" spans="1:55" s="1" customFormat="1" ht="16.5" customHeight="1">
      <c r="A39" s="59"/>
      <c r="B39" s="1024"/>
      <c r="C39" s="2809" t="str">
        <f t="shared" si="10"/>
        <v>OTHER</v>
      </c>
      <c r="D39" s="548"/>
      <c r="E39" s="549"/>
      <c r="F39" s="228" t="str">
        <f t="shared" si="11"/>
        <v>0g</v>
      </c>
      <c r="G39" s="2070">
        <f t="shared" si="12"/>
        <v>0</v>
      </c>
      <c r="H39" s="2071">
        <f t="shared" si="13"/>
        <v>0</v>
      </c>
      <c r="I39" s="1336" t="s">
        <v>801</v>
      </c>
      <c r="J39" s="544">
        <v>7.5</v>
      </c>
      <c r="K39" s="1299"/>
      <c r="L39" s="1300"/>
      <c r="M39" s="1301"/>
      <c r="N39" s="1309">
        <f t="shared" si="14"/>
        <v>0</v>
      </c>
      <c r="O39" s="1310">
        <f t="shared" si="14"/>
        <v>0</v>
      </c>
      <c r="P39" s="1311">
        <f t="shared" si="14"/>
        <v>0</v>
      </c>
      <c r="Q39" s="1299"/>
      <c r="R39" s="1300"/>
      <c r="S39" s="1301"/>
      <c r="T39" s="35"/>
      <c r="U39" s="1051"/>
      <c r="V39" s="1051"/>
      <c r="W39" s="1051"/>
      <c r="X39" s="1020">
        <f t="shared" si="15"/>
        <v>0</v>
      </c>
      <c r="Y39" s="60" t="s">
        <v>141</v>
      </c>
      <c r="Z39" s="359">
        <f t="shared" si="16"/>
        <v>0</v>
      </c>
      <c r="AA39" s="359">
        <f t="shared" si="17"/>
        <v>0</v>
      </c>
      <c r="AB39" s="359">
        <f t="shared" si="18"/>
        <v>0</v>
      </c>
      <c r="AC39" s="359">
        <f t="shared" si="18"/>
        <v>0</v>
      </c>
      <c r="AD39" s="9">
        <f t="shared" si="19"/>
        <v>0</v>
      </c>
      <c r="AE39" s="7">
        <f t="shared" si="20"/>
        <v>0</v>
      </c>
      <c r="AF39" s="7">
        <f t="shared" si="21"/>
        <v>0</v>
      </c>
      <c r="AG39" s="53"/>
      <c r="AH39" s="1021"/>
      <c r="AI39" s="339"/>
      <c r="AJ39" s="1022">
        <f t="shared" si="22"/>
        <v>0</v>
      </c>
      <c r="AK39" s="1023">
        <f t="shared" si="22"/>
        <v>0</v>
      </c>
      <c r="AL39" s="1023">
        <f t="shared" si="22"/>
        <v>0</v>
      </c>
      <c r="AM39" s="1023">
        <f t="shared" si="22"/>
        <v>0</v>
      </c>
      <c r="AN39" s="1023">
        <f t="shared" si="22"/>
        <v>0</v>
      </c>
      <c r="AO39" s="1023">
        <f t="shared" si="22"/>
        <v>0</v>
      </c>
      <c r="AP39" s="1023">
        <f t="shared" si="22"/>
        <v>0</v>
      </c>
      <c r="AQ39" s="1023">
        <f t="shared" si="22"/>
        <v>0</v>
      </c>
      <c r="AR39" s="1023">
        <f t="shared" si="22"/>
        <v>0</v>
      </c>
      <c r="AS39" s="1545"/>
      <c r="AT39" s="3182">
        <v>1</v>
      </c>
      <c r="AU39" s="3186"/>
      <c r="AV39" s="2326"/>
      <c r="AW39" s="3184">
        <f>AT39*16+AV39</f>
        <v>16</v>
      </c>
      <c r="AX39" s="3185"/>
      <c r="AY39" s="2336">
        <f t="shared" ref="AY39:AY43" si="23">1000*(AU39+AW39/16)*0.4536</f>
        <v>453.6</v>
      </c>
      <c r="AZ39" s="2333"/>
      <c r="BA39" s="2333"/>
      <c r="BB39" s="1051"/>
      <c r="BC39" s="2486"/>
    </row>
    <row r="40" spans="1:55" s="1" customFormat="1" ht="16.5" customHeight="1">
      <c r="A40" s="59"/>
      <c r="B40" s="2509"/>
      <c r="C40" s="1025"/>
      <c r="D40" s="1026"/>
      <c r="E40" s="1027"/>
      <c r="F40" s="2064"/>
      <c r="G40" s="2070"/>
      <c r="H40" s="2071"/>
      <c r="I40" s="1336" t="s">
        <v>225</v>
      </c>
      <c r="J40" s="544">
        <v>4.5</v>
      </c>
      <c r="K40" s="1299"/>
      <c r="L40" s="1300"/>
      <c r="M40" s="1301"/>
      <c r="N40" s="1309">
        <f t="shared" si="14"/>
        <v>0</v>
      </c>
      <c r="O40" s="1310">
        <f t="shared" si="14"/>
        <v>0</v>
      </c>
      <c r="P40" s="1311">
        <f t="shared" si="14"/>
        <v>0</v>
      </c>
      <c r="Q40" s="1299"/>
      <c r="R40" s="1300"/>
      <c r="S40" s="1301"/>
      <c r="T40" s="35"/>
      <c r="U40" s="1051"/>
      <c r="V40" s="1051"/>
      <c r="W40" s="1051"/>
      <c r="X40" s="573"/>
      <c r="Y40" s="60"/>
      <c r="Z40" s="53"/>
      <c r="AA40" s="53"/>
      <c r="AB40" s="53"/>
      <c r="AC40" s="53"/>
      <c r="AD40" s="1028"/>
      <c r="AE40" s="53"/>
      <c r="AF40" s="53"/>
      <c r="AG40" s="53"/>
      <c r="AH40" s="1021"/>
      <c r="AI40" s="339"/>
      <c r="AJ40" s="1022">
        <f t="shared" si="22"/>
        <v>0</v>
      </c>
      <c r="AK40" s="1023">
        <f t="shared" si="22"/>
        <v>0</v>
      </c>
      <c r="AL40" s="1023">
        <f t="shared" si="22"/>
        <v>0</v>
      </c>
      <c r="AM40" s="1023">
        <f t="shared" si="22"/>
        <v>0</v>
      </c>
      <c r="AN40" s="1023">
        <f t="shared" si="22"/>
        <v>0</v>
      </c>
      <c r="AO40" s="1023">
        <f t="shared" si="22"/>
        <v>0</v>
      </c>
      <c r="AP40" s="1023">
        <f t="shared" si="22"/>
        <v>0</v>
      </c>
      <c r="AQ40" s="1023">
        <f t="shared" si="22"/>
        <v>0</v>
      </c>
      <c r="AR40" s="1023">
        <f t="shared" si="22"/>
        <v>0</v>
      </c>
      <c r="AS40" s="1545"/>
      <c r="AT40" s="3182">
        <v>1</v>
      </c>
      <c r="AU40" s="3186"/>
      <c r="AV40" s="2326">
        <v>8</v>
      </c>
      <c r="AW40" s="3184">
        <f t="shared" ref="AW40:AW43" si="24">AT40*16+AV40</f>
        <v>24</v>
      </c>
      <c r="AX40" s="3185"/>
      <c r="AY40" s="2336">
        <f t="shared" si="23"/>
        <v>680.4</v>
      </c>
      <c r="AZ40" s="2333"/>
      <c r="BA40" s="2333"/>
      <c r="BB40" s="1051"/>
      <c r="BC40" s="2486"/>
    </row>
    <row r="41" spans="1:55" s="1" customFormat="1" ht="16.5" customHeight="1">
      <c r="A41" s="59"/>
      <c r="B41" s="2509"/>
      <c r="C41" s="1029" t="s">
        <v>266</v>
      </c>
      <c r="D41" s="1026"/>
      <c r="E41" s="1027"/>
      <c r="F41" s="2064"/>
      <c r="G41" s="2070"/>
      <c r="H41" s="2071"/>
      <c r="I41" s="1336" t="s">
        <v>226</v>
      </c>
      <c r="J41" s="544">
        <v>5.3</v>
      </c>
      <c r="K41" s="1299"/>
      <c r="L41" s="1300"/>
      <c r="M41" s="1301"/>
      <c r="N41" s="1309">
        <f>K41</f>
        <v>0</v>
      </c>
      <c r="O41" s="1310">
        <f t="shared" si="14"/>
        <v>0</v>
      </c>
      <c r="P41" s="1311">
        <f t="shared" si="14"/>
        <v>0</v>
      </c>
      <c r="Q41" s="1299"/>
      <c r="R41" s="1300"/>
      <c r="S41" s="1301"/>
      <c r="T41" s="35"/>
      <c r="U41" s="1051"/>
      <c r="V41" s="1051"/>
      <c r="W41" s="1051"/>
      <c r="X41" s="344"/>
      <c r="Y41" s="60"/>
      <c r="Z41" s="56"/>
      <c r="AA41" s="56"/>
      <c r="AB41" s="56"/>
      <c r="AC41" s="56"/>
      <c r="AD41" s="56"/>
      <c r="AE41" s="56"/>
      <c r="AF41" s="56"/>
      <c r="AG41" s="56"/>
      <c r="AH41" s="1021"/>
      <c r="AI41" s="339"/>
      <c r="AJ41" s="1022">
        <f>$J41*K41</f>
        <v>0</v>
      </c>
      <c r="AK41" s="1023">
        <f t="shared" si="22"/>
        <v>0</v>
      </c>
      <c r="AL41" s="1023">
        <f t="shared" si="22"/>
        <v>0</v>
      </c>
      <c r="AM41" s="1023">
        <f t="shared" si="22"/>
        <v>0</v>
      </c>
      <c r="AN41" s="1023">
        <f t="shared" si="22"/>
        <v>0</v>
      </c>
      <c r="AO41" s="1023">
        <f t="shared" si="22"/>
        <v>0</v>
      </c>
      <c r="AP41" s="1023">
        <f t="shared" si="22"/>
        <v>0</v>
      </c>
      <c r="AQ41" s="1023">
        <f t="shared" si="22"/>
        <v>0</v>
      </c>
      <c r="AR41" s="1023">
        <f t="shared" si="22"/>
        <v>0</v>
      </c>
      <c r="AS41" s="1545"/>
      <c r="AT41" s="3182">
        <v>2</v>
      </c>
      <c r="AU41" s="3186"/>
      <c r="AV41" s="2326"/>
      <c r="AW41" s="3184">
        <f t="shared" si="24"/>
        <v>32</v>
      </c>
      <c r="AX41" s="3185"/>
      <c r="AY41" s="2336">
        <f t="shared" si="23"/>
        <v>907.2</v>
      </c>
      <c r="AZ41" s="2333"/>
      <c r="BA41" s="2333"/>
      <c r="BB41" s="1051"/>
      <c r="BC41" s="2486"/>
    </row>
    <row r="42" spans="1:55" s="1" customFormat="1" ht="16.5" customHeight="1">
      <c r="A42" s="59"/>
      <c r="B42" s="2509"/>
      <c r="C42" s="2809" t="str">
        <f>C124</f>
        <v>Light</v>
      </c>
      <c r="D42" s="1164"/>
      <c r="E42" s="549"/>
      <c r="F42" s="228" t="str">
        <f t="shared" ref="F42:F72" si="25">1*FIXED(X42,0)&amp;"g"</f>
        <v>0g</v>
      </c>
      <c r="G42" s="2070">
        <f>100*IF(X42=0,0,X42/X$77)</f>
        <v>0</v>
      </c>
      <c r="H42" s="2071">
        <f>IF(AD42=0,0,AD42*100/$AD$77)</f>
        <v>0</v>
      </c>
      <c r="I42" s="1336" t="s">
        <v>1544</v>
      </c>
      <c r="J42" s="544">
        <v>2</v>
      </c>
      <c r="K42" s="1299"/>
      <c r="L42" s="1300"/>
      <c r="M42" s="1301"/>
      <c r="N42" s="1309">
        <f>K42</f>
        <v>0</v>
      </c>
      <c r="O42" s="1310">
        <f t="shared" si="14"/>
        <v>0</v>
      </c>
      <c r="P42" s="1311">
        <f t="shared" si="14"/>
        <v>0</v>
      </c>
      <c r="Q42" s="1299"/>
      <c r="R42" s="1300"/>
      <c r="S42" s="1301"/>
      <c r="T42" s="35"/>
      <c r="U42" s="1051"/>
      <c r="V42" s="1051"/>
      <c r="W42" s="1051"/>
      <c r="X42" s="1020">
        <f>453.6*(D42+E42/16)</f>
        <v>0</v>
      </c>
      <c r="Y42" s="60" t="s">
        <v>141</v>
      </c>
      <c r="Z42" s="359">
        <f>D124</f>
        <v>310</v>
      </c>
      <c r="AA42" s="359">
        <f>F124</f>
        <v>0.62</v>
      </c>
      <c r="AB42" s="359">
        <f t="shared" ref="AB42:AC45" si="26">I124</f>
        <v>10</v>
      </c>
      <c r="AC42" s="359">
        <f t="shared" si="26"/>
        <v>30</v>
      </c>
      <c r="AD42" s="9">
        <f>0.001*X42*Z42</f>
        <v>0</v>
      </c>
      <c r="AE42" s="7">
        <f>AD42*$AA42</f>
        <v>0</v>
      </c>
      <c r="AF42" s="7">
        <f>0.01*X42*AB42</f>
        <v>0</v>
      </c>
      <c r="AG42" s="7">
        <f>0.01*X42*AC42</f>
        <v>0</v>
      </c>
      <c r="AH42" s="1021"/>
      <c r="AI42" s="339"/>
      <c r="AJ42" s="1022">
        <f>$J42*K42</f>
        <v>0</v>
      </c>
      <c r="AK42" s="1023">
        <f t="shared" si="22"/>
        <v>0</v>
      </c>
      <c r="AL42" s="1023">
        <f t="shared" si="22"/>
        <v>0</v>
      </c>
      <c r="AM42" s="1023">
        <f t="shared" si="22"/>
        <v>0</v>
      </c>
      <c r="AN42" s="1023">
        <f t="shared" si="22"/>
        <v>0</v>
      </c>
      <c r="AO42" s="1023">
        <f t="shared" si="22"/>
        <v>0</v>
      </c>
      <c r="AP42" s="1023">
        <f t="shared" si="22"/>
        <v>0</v>
      </c>
      <c r="AQ42" s="1023">
        <f t="shared" si="22"/>
        <v>0</v>
      </c>
      <c r="AR42" s="1023">
        <f t="shared" si="22"/>
        <v>0</v>
      </c>
      <c r="AS42" s="1545"/>
      <c r="AT42" s="3182">
        <v>2</v>
      </c>
      <c r="AU42" s="3186"/>
      <c r="AV42" s="2326">
        <v>8</v>
      </c>
      <c r="AW42" s="3184">
        <f t="shared" si="24"/>
        <v>40</v>
      </c>
      <c r="AX42" s="3185"/>
      <c r="AY42" s="2336">
        <f t="shared" si="23"/>
        <v>1134</v>
      </c>
      <c r="AZ42" s="2333"/>
      <c r="BA42" s="2333"/>
      <c r="BB42" s="1051"/>
      <c r="BC42" s="2486"/>
    </row>
    <row r="43" spans="1:55" s="1" customFormat="1" ht="16.5" customHeight="1">
      <c r="A43" s="59"/>
      <c r="B43" s="2509"/>
      <c r="C43" s="2809" t="str">
        <f>C125</f>
        <v>Amber</v>
      </c>
      <c r="D43" s="548"/>
      <c r="E43" s="549"/>
      <c r="F43" s="228" t="str">
        <f t="shared" si="25"/>
        <v>0g</v>
      </c>
      <c r="G43" s="2070">
        <f>100*IF(X43=0,0,X43/X$77)</f>
        <v>0</v>
      </c>
      <c r="H43" s="2071">
        <f>IF(AD43=0,0,AD43*100/$AD$77)</f>
        <v>0</v>
      </c>
      <c r="I43" s="1337" t="s">
        <v>1545</v>
      </c>
      <c r="J43" s="544">
        <v>6.7</v>
      </c>
      <c r="K43" s="1299"/>
      <c r="L43" s="1300"/>
      <c r="M43" s="1301"/>
      <c r="N43" s="1309">
        <f t="shared" si="14"/>
        <v>0</v>
      </c>
      <c r="O43" s="1310">
        <f t="shared" si="14"/>
        <v>0</v>
      </c>
      <c r="P43" s="1311">
        <f t="shared" si="14"/>
        <v>0</v>
      </c>
      <c r="Q43" s="1299"/>
      <c r="R43" s="1300"/>
      <c r="S43" s="1301"/>
      <c r="T43" s="35"/>
      <c r="U43" s="1051"/>
      <c r="V43" s="1051"/>
      <c r="W43" s="1051"/>
      <c r="X43" s="1020">
        <f>453.6*(D43+E43/16)</f>
        <v>0</v>
      </c>
      <c r="Y43" s="60" t="s">
        <v>141</v>
      </c>
      <c r="Z43" s="359">
        <f>D125</f>
        <v>310</v>
      </c>
      <c r="AA43" s="359">
        <f>F125</f>
        <v>0.62</v>
      </c>
      <c r="AB43" s="359">
        <f t="shared" si="26"/>
        <v>18</v>
      </c>
      <c r="AC43" s="359">
        <f t="shared" si="26"/>
        <v>50</v>
      </c>
      <c r="AD43" s="9">
        <f>0.001*X43*Z43</f>
        <v>0</v>
      </c>
      <c r="AE43" s="7">
        <f>AD43*$AA43</f>
        <v>0</v>
      </c>
      <c r="AF43" s="7">
        <f>0.01*X43*AB43</f>
        <v>0</v>
      </c>
      <c r="AG43" s="7">
        <f>0.01*X43*AC43</f>
        <v>0</v>
      </c>
      <c r="AH43" s="1021"/>
      <c r="AI43" s="339"/>
      <c r="AJ43" s="1022">
        <f t="shared" si="22"/>
        <v>0</v>
      </c>
      <c r="AK43" s="1023">
        <f t="shared" si="22"/>
        <v>0</v>
      </c>
      <c r="AL43" s="1023">
        <f t="shared" si="22"/>
        <v>0</v>
      </c>
      <c r="AM43" s="1023">
        <f t="shared" si="22"/>
        <v>0</v>
      </c>
      <c r="AN43" s="1023">
        <f t="shared" si="22"/>
        <v>0</v>
      </c>
      <c r="AO43" s="1023">
        <f t="shared" si="22"/>
        <v>0</v>
      </c>
      <c r="AP43" s="1023">
        <f t="shared" si="22"/>
        <v>0</v>
      </c>
      <c r="AQ43" s="1023">
        <f t="shared" si="22"/>
        <v>0</v>
      </c>
      <c r="AR43" s="1023">
        <f t="shared" si="22"/>
        <v>0</v>
      </c>
      <c r="AS43" s="1545"/>
      <c r="AT43" s="3182"/>
      <c r="AU43" s="3186"/>
      <c r="AV43" s="2326">
        <v>0.1111</v>
      </c>
      <c r="AW43" s="3184">
        <f t="shared" si="24"/>
        <v>0.1111</v>
      </c>
      <c r="AX43" s="3185"/>
      <c r="AY43" s="2336">
        <f t="shared" si="23"/>
        <v>3.1496850000000003</v>
      </c>
      <c r="AZ43" s="2333"/>
      <c r="BA43" s="2333"/>
      <c r="BB43" s="1051"/>
      <c r="BC43" s="2486"/>
    </row>
    <row r="44" spans="1:55" s="1" customFormat="1" ht="16.5" customHeight="1">
      <c r="A44" s="59"/>
      <c r="B44" s="2509"/>
      <c r="C44" s="2809" t="str">
        <f>C126</f>
        <v>Dark</v>
      </c>
      <c r="D44" s="548"/>
      <c r="E44" s="549"/>
      <c r="F44" s="228" t="str">
        <f t="shared" si="25"/>
        <v>0g</v>
      </c>
      <c r="G44" s="2070">
        <f>100*IF(X44=0,0,X44/X$77)</f>
        <v>0</v>
      </c>
      <c r="H44" s="2071">
        <f>IF(AD44=0,0,AD44*100/$AD$77)</f>
        <v>0</v>
      </c>
      <c r="I44" s="1336" t="s">
        <v>802</v>
      </c>
      <c r="J44" s="544">
        <v>13.5</v>
      </c>
      <c r="K44" s="1299"/>
      <c r="L44" s="1300"/>
      <c r="M44" s="1301"/>
      <c r="N44" s="1309">
        <f t="shared" si="14"/>
        <v>0</v>
      </c>
      <c r="O44" s="1310">
        <f t="shared" si="14"/>
        <v>0</v>
      </c>
      <c r="P44" s="1311">
        <f t="shared" si="14"/>
        <v>0</v>
      </c>
      <c r="Q44" s="1299"/>
      <c r="R44" s="1300"/>
      <c r="S44" s="1301"/>
      <c r="T44" s="35"/>
      <c r="U44" s="1051"/>
      <c r="V44" s="1051"/>
      <c r="W44" s="1051"/>
      <c r="X44" s="1020">
        <f>453.6*(D44+E44/16)</f>
        <v>0</v>
      </c>
      <c r="Y44" s="60" t="s">
        <v>141</v>
      </c>
      <c r="Z44" s="359">
        <f>D126</f>
        <v>310</v>
      </c>
      <c r="AA44" s="359">
        <f>F126</f>
        <v>0.62</v>
      </c>
      <c r="AB44" s="359">
        <f t="shared" si="26"/>
        <v>55</v>
      </c>
      <c r="AC44" s="359">
        <f t="shared" si="26"/>
        <v>50</v>
      </c>
      <c r="AD44" s="9">
        <f>0.001*X44*Z44</f>
        <v>0</v>
      </c>
      <c r="AE44" s="7">
        <f>AD44*$AA44</f>
        <v>0</v>
      </c>
      <c r="AF44" s="7">
        <f>0.01*X44*AB44</f>
        <v>0</v>
      </c>
      <c r="AG44" s="7">
        <f>0.01*X44*AC44</f>
        <v>0</v>
      </c>
      <c r="AH44" s="1021"/>
      <c r="AI44" s="339"/>
      <c r="AJ44" s="1022">
        <f t="shared" si="22"/>
        <v>0</v>
      </c>
      <c r="AK44" s="1023">
        <f t="shared" si="22"/>
        <v>0</v>
      </c>
      <c r="AL44" s="1023">
        <f t="shared" si="22"/>
        <v>0</v>
      </c>
      <c r="AM44" s="1023">
        <f t="shared" si="22"/>
        <v>0</v>
      </c>
      <c r="AN44" s="1023">
        <f t="shared" si="22"/>
        <v>0</v>
      </c>
      <c r="AO44" s="1023">
        <f t="shared" si="22"/>
        <v>0</v>
      </c>
      <c r="AP44" s="1023">
        <f t="shared" si="22"/>
        <v>0</v>
      </c>
      <c r="AQ44" s="1023">
        <f t="shared" si="22"/>
        <v>0</v>
      </c>
      <c r="AR44" s="1023">
        <f t="shared" si="22"/>
        <v>0</v>
      </c>
      <c r="AS44" s="1051"/>
      <c r="AT44" s="1051"/>
      <c r="AU44" s="1051"/>
      <c r="AV44" s="1051"/>
      <c r="AW44" s="1051"/>
      <c r="AX44" s="1051"/>
      <c r="AY44" s="1051"/>
      <c r="AZ44" s="2333"/>
      <c r="BA44" s="2333"/>
      <c r="BB44" s="1051"/>
      <c r="BC44" s="2486"/>
    </row>
    <row r="45" spans="1:55" s="1" customFormat="1" ht="16.5" customHeight="1">
      <c r="A45" s="59"/>
      <c r="B45" s="1024"/>
      <c r="C45" s="2809" t="str">
        <f>C127</f>
        <v>OTHER</v>
      </c>
      <c r="D45" s="548"/>
      <c r="E45" s="549"/>
      <c r="F45" s="228" t="str">
        <f t="shared" si="25"/>
        <v>0g</v>
      </c>
      <c r="G45" s="2070">
        <f>100*IF(X45=0,0,X45/X$77)</f>
        <v>0</v>
      </c>
      <c r="H45" s="2071">
        <f>IF(AD45=0,0,AD45*100/$AD$77)</f>
        <v>0</v>
      </c>
      <c r="I45" s="1336" t="s">
        <v>227</v>
      </c>
      <c r="J45" s="544">
        <v>7.5</v>
      </c>
      <c r="K45" s="1299"/>
      <c r="L45" s="1300"/>
      <c r="M45" s="1301"/>
      <c r="N45" s="1309">
        <f t="shared" si="14"/>
        <v>0</v>
      </c>
      <c r="O45" s="1310">
        <f t="shared" si="14"/>
        <v>0</v>
      </c>
      <c r="P45" s="1311">
        <f t="shared" si="14"/>
        <v>0</v>
      </c>
      <c r="Q45" s="1299"/>
      <c r="R45" s="1300"/>
      <c r="S45" s="1301"/>
      <c r="T45" s="35"/>
      <c r="U45" s="1051"/>
      <c r="V45" s="1051"/>
      <c r="W45" s="1051"/>
      <c r="X45" s="1020">
        <f>453.6*(D45+E45/16)</f>
        <v>0</v>
      </c>
      <c r="Y45" s="60" t="s">
        <v>141</v>
      </c>
      <c r="Z45" s="359">
        <f>D127</f>
        <v>0</v>
      </c>
      <c r="AA45" s="359">
        <f>F127</f>
        <v>0</v>
      </c>
      <c r="AB45" s="359">
        <f t="shared" si="26"/>
        <v>0</v>
      </c>
      <c r="AC45" s="359">
        <f t="shared" si="26"/>
        <v>0</v>
      </c>
      <c r="AD45" s="9">
        <f>0.001*X45*Z45</f>
        <v>0</v>
      </c>
      <c r="AE45" s="7">
        <f>AD45*$AA45</f>
        <v>0</v>
      </c>
      <c r="AF45" s="7">
        <f>0.01*X45*AB45</f>
        <v>0</v>
      </c>
      <c r="AG45" s="7">
        <f>0.01*X45*AC45</f>
        <v>0</v>
      </c>
      <c r="AH45" s="1021"/>
      <c r="AI45" s="339"/>
      <c r="AJ45" s="1022">
        <f t="shared" si="22"/>
        <v>0</v>
      </c>
      <c r="AK45" s="1023">
        <f t="shared" si="22"/>
        <v>0</v>
      </c>
      <c r="AL45" s="1023">
        <f t="shared" si="22"/>
        <v>0</v>
      </c>
      <c r="AM45" s="1023">
        <f t="shared" si="22"/>
        <v>0</v>
      </c>
      <c r="AN45" s="1023">
        <f t="shared" si="22"/>
        <v>0</v>
      </c>
      <c r="AO45" s="1023">
        <f t="shared" si="22"/>
        <v>0</v>
      </c>
      <c r="AP45" s="1023">
        <f t="shared" si="22"/>
        <v>0</v>
      </c>
      <c r="AQ45" s="1023">
        <f t="shared" si="22"/>
        <v>0</v>
      </c>
      <c r="AR45" s="1023">
        <f t="shared" si="22"/>
        <v>0</v>
      </c>
      <c r="AS45" s="3187" t="s">
        <v>1659</v>
      </c>
      <c r="AT45" s="3187"/>
      <c r="AU45" s="3187"/>
      <c r="AV45" s="3187"/>
      <c r="AW45" s="3187"/>
      <c r="AX45" s="3187"/>
      <c r="AY45" s="3187"/>
      <c r="AZ45" s="2333"/>
      <c r="BA45" s="2333"/>
      <c r="BB45" s="1051"/>
      <c r="BC45" s="2486"/>
    </row>
    <row r="46" spans="1:55" s="1" customFormat="1" ht="16.5" customHeight="1">
      <c r="A46" s="59"/>
      <c r="B46" s="2509"/>
      <c r="C46" s="1030"/>
      <c r="D46" s="1030"/>
      <c r="E46" s="1030"/>
      <c r="F46" s="1030"/>
      <c r="G46" s="2070"/>
      <c r="H46" s="2071"/>
      <c r="I46" s="1336" t="s">
        <v>228</v>
      </c>
      <c r="J46" s="544">
        <v>9.25</v>
      </c>
      <c r="K46" s="1299"/>
      <c r="L46" s="1300"/>
      <c r="M46" s="1301"/>
      <c r="N46" s="1309">
        <f t="shared" si="14"/>
        <v>0</v>
      </c>
      <c r="O46" s="1310">
        <f t="shared" si="14"/>
        <v>0</v>
      </c>
      <c r="P46" s="1311">
        <f t="shared" si="14"/>
        <v>0</v>
      </c>
      <c r="Q46" s="1299"/>
      <c r="R46" s="1300"/>
      <c r="S46" s="1301"/>
      <c r="T46" s="35"/>
      <c r="U46" s="1051"/>
      <c r="V46" s="1051"/>
      <c r="W46" s="1051"/>
      <c r="X46" s="1019"/>
      <c r="Y46" s="1019"/>
      <c r="Z46" s="1019"/>
      <c r="AA46" s="1019"/>
      <c r="AB46" s="1019"/>
      <c r="AC46" s="1019"/>
      <c r="AD46" s="1019"/>
      <c r="AE46" s="1019"/>
      <c r="AF46" s="1019"/>
      <c r="AG46" s="1019"/>
      <c r="AH46" s="1021"/>
      <c r="AI46" s="339"/>
      <c r="AJ46" s="1022">
        <f t="shared" si="22"/>
        <v>0</v>
      </c>
      <c r="AK46" s="1023">
        <f t="shared" si="22"/>
        <v>0</v>
      </c>
      <c r="AL46" s="1023">
        <f t="shared" si="22"/>
        <v>0</v>
      </c>
      <c r="AM46" s="1023">
        <f t="shared" si="22"/>
        <v>0</v>
      </c>
      <c r="AN46" s="1023">
        <f t="shared" si="22"/>
        <v>0</v>
      </c>
      <c r="AO46" s="1023">
        <f t="shared" si="22"/>
        <v>0</v>
      </c>
      <c r="AP46" s="1023">
        <f t="shared" si="22"/>
        <v>0</v>
      </c>
      <c r="AQ46" s="1023">
        <f t="shared" si="22"/>
        <v>0</v>
      </c>
      <c r="AR46" s="1023">
        <f t="shared" si="22"/>
        <v>0</v>
      </c>
      <c r="AS46" s="1255"/>
      <c r="AT46" s="3168" t="s">
        <v>23</v>
      </c>
      <c r="AU46" s="3168"/>
      <c r="AV46" s="2367" t="s">
        <v>1530</v>
      </c>
      <c r="AW46" s="3169" t="s">
        <v>141</v>
      </c>
      <c r="AX46" s="3170"/>
      <c r="AY46" s="1255"/>
      <c r="AZ46" s="2333"/>
      <c r="BA46" s="2333"/>
      <c r="BB46" s="1051"/>
      <c r="BC46" s="2486"/>
    </row>
    <row r="47" spans="1:55" s="1" customFormat="1" ht="16.5" customHeight="1">
      <c r="A47" s="59"/>
      <c r="B47" s="2509"/>
      <c r="C47" s="1031" t="s">
        <v>267</v>
      </c>
      <c r="D47" s="1030"/>
      <c r="E47" s="1030"/>
      <c r="F47" s="1030"/>
      <c r="G47" s="2070"/>
      <c r="H47" s="2071"/>
      <c r="I47" s="1336" t="s">
        <v>803</v>
      </c>
      <c r="J47" s="544">
        <v>6.5</v>
      </c>
      <c r="K47" s="1299"/>
      <c r="L47" s="1300"/>
      <c r="M47" s="1301"/>
      <c r="N47" s="1309">
        <f t="shared" si="14"/>
        <v>0</v>
      </c>
      <c r="O47" s="1310">
        <f t="shared" si="14"/>
        <v>0</v>
      </c>
      <c r="P47" s="1311">
        <f t="shared" si="14"/>
        <v>0</v>
      </c>
      <c r="Q47" s="1299"/>
      <c r="R47" s="1300"/>
      <c r="S47" s="1301"/>
      <c r="T47" s="35"/>
      <c r="U47" s="1051"/>
      <c r="V47" s="1051"/>
      <c r="W47" s="1051"/>
      <c r="X47" s="53"/>
      <c r="Y47" s="53"/>
      <c r="Z47" s="53"/>
      <c r="AA47" s="53"/>
      <c r="AB47" s="53"/>
      <c r="AC47" s="53"/>
      <c r="AD47" s="1028"/>
      <c r="AE47" s="53"/>
      <c r="AF47" s="53"/>
      <c r="AG47" s="53"/>
      <c r="AH47" s="1021"/>
      <c r="AI47" s="339"/>
      <c r="AJ47" s="1022">
        <f t="shared" si="22"/>
        <v>0</v>
      </c>
      <c r="AK47" s="1023">
        <f t="shared" si="22"/>
        <v>0</v>
      </c>
      <c r="AL47" s="1023">
        <f t="shared" si="22"/>
        <v>0</v>
      </c>
      <c r="AM47" s="1023">
        <f t="shared" si="22"/>
        <v>0</v>
      </c>
      <c r="AN47" s="1023">
        <f t="shared" si="22"/>
        <v>0</v>
      </c>
      <c r="AO47" s="1023">
        <f t="shared" si="22"/>
        <v>0</v>
      </c>
      <c r="AP47" s="1023">
        <f t="shared" si="22"/>
        <v>0</v>
      </c>
      <c r="AQ47" s="1023">
        <f t="shared" si="22"/>
        <v>0</v>
      </c>
      <c r="AR47" s="1023">
        <f t="shared" si="22"/>
        <v>0</v>
      </c>
      <c r="AS47" s="1255"/>
      <c r="AT47" s="3139">
        <f>AV47/28.3495</f>
        <v>9.5945254766398008E-2</v>
      </c>
      <c r="AU47" s="3139"/>
      <c r="AV47" s="2368">
        <v>2.72</v>
      </c>
      <c r="AW47" s="3140">
        <f t="shared" ref="AW47:AW55" si="27">AV47*28.3495</f>
        <v>77.110640000000004</v>
      </c>
      <c r="AX47" s="3141"/>
      <c r="AY47" s="1255"/>
      <c r="AZ47" s="2333"/>
      <c r="BA47" s="2333"/>
      <c r="BB47" s="1051"/>
      <c r="BC47" s="2486"/>
    </row>
    <row r="48" spans="1:55" s="1" customFormat="1" ht="16.5" customHeight="1">
      <c r="A48" s="59"/>
      <c r="B48" s="2509"/>
      <c r="C48" s="2809" t="str">
        <f t="shared" ref="C48:C53" si="28">C130</f>
        <v>Extra Light</v>
      </c>
      <c r="D48" s="548"/>
      <c r="E48" s="549"/>
      <c r="F48" s="228" t="str">
        <f t="shared" si="25"/>
        <v>0g</v>
      </c>
      <c r="G48" s="2070">
        <f t="shared" ref="G48:G53" si="29">100*IF(X48=0,0,X48/X$77)</f>
        <v>0</v>
      </c>
      <c r="H48" s="2071">
        <f t="shared" ref="H48:H53" si="30">IF(AD48=0,0,AD48*100/$AD$77)</f>
        <v>0</v>
      </c>
      <c r="I48" s="1336" t="s">
        <v>230</v>
      </c>
      <c r="J48" s="544">
        <v>3.6</v>
      </c>
      <c r="K48" s="1299">
        <v>2.72</v>
      </c>
      <c r="L48" s="1300"/>
      <c r="M48" s="1301"/>
      <c r="N48" s="1309">
        <f t="shared" si="14"/>
        <v>2.72</v>
      </c>
      <c r="O48" s="1310">
        <f t="shared" si="14"/>
        <v>0</v>
      </c>
      <c r="P48" s="1311">
        <f t="shared" si="14"/>
        <v>0</v>
      </c>
      <c r="Q48" s="1299">
        <v>1.5</v>
      </c>
      <c r="R48" s="1300"/>
      <c r="S48" s="1301"/>
      <c r="T48" s="35"/>
      <c r="U48" s="1051"/>
      <c r="V48" s="1051"/>
      <c r="W48" s="1051"/>
      <c r="X48" s="1020">
        <f t="shared" ref="X48:X53" si="31">453.6*(D48+E48/16)</f>
        <v>0</v>
      </c>
      <c r="Y48" s="60" t="s">
        <v>141</v>
      </c>
      <c r="Z48" s="359">
        <f t="shared" ref="Z48:Z53" si="32">D130</f>
        <v>365</v>
      </c>
      <c r="AA48" s="359">
        <f t="shared" ref="AA48:AA53" si="33">F130</f>
        <v>0.62</v>
      </c>
      <c r="AB48" s="359">
        <f t="shared" ref="AB48:AB53" si="34">I130</f>
        <v>6</v>
      </c>
      <c r="AC48" s="359">
        <v>0</v>
      </c>
      <c r="AD48" s="9">
        <f t="shared" ref="AD48:AD53" si="35">0.001*X48*Z48</f>
        <v>0</v>
      </c>
      <c r="AE48" s="7">
        <f t="shared" ref="AE48:AE53" si="36">AD48*$AA48</f>
        <v>0</v>
      </c>
      <c r="AF48" s="7">
        <f t="shared" ref="AF48:AF53" si="37">0.01*X48*AB48</f>
        <v>0</v>
      </c>
      <c r="AG48" s="53"/>
      <c r="AH48" s="1021"/>
      <c r="AI48" s="53"/>
      <c r="AJ48" s="1022">
        <f t="shared" si="22"/>
        <v>9.7920000000000016</v>
      </c>
      <c r="AK48" s="1023">
        <f t="shared" si="22"/>
        <v>0</v>
      </c>
      <c r="AL48" s="1023">
        <f t="shared" si="22"/>
        <v>0</v>
      </c>
      <c r="AM48" s="1023">
        <f t="shared" si="22"/>
        <v>9.7920000000000016</v>
      </c>
      <c r="AN48" s="1023">
        <f t="shared" si="22"/>
        <v>0</v>
      </c>
      <c r="AO48" s="1023">
        <f t="shared" si="22"/>
        <v>0</v>
      </c>
      <c r="AP48" s="1023">
        <f t="shared" si="22"/>
        <v>5.4</v>
      </c>
      <c r="AQ48" s="1023">
        <f t="shared" si="22"/>
        <v>0</v>
      </c>
      <c r="AR48" s="1023">
        <f t="shared" si="22"/>
        <v>0</v>
      </c>
      <c r="AS48" s="1255"/>
      <c r="AT48" s="3139">
        <f t="shared" ref="AT48:AT55" si="38">AV48/28.3495</f>
        <v>8.8184976807351101E-2</v>
      </c>
      <c r="AU48" s="3139"/>
      <c r="AV48" s="2368">
        <v>2.5</v>
      </c>
      <c r="AW48" s="3140">
        <f t="shared" si="27"/>
        <v>70.873750000000001</v>
      </c>
      <c r="AX48" s="3141"/>
      <c r="AY48" s="1255"/>
      <c r="AZ48" s="2333"/>
      <c r="BA48" s="2333"/>
      <c r="BB48" s="2601"/>
      <c r="BC48" s="2486"/>
    </row>
    <row r="49" spans="1:55" s="1" customFormat="1" ht="16.5" customHeight="1">
      <c r="A49" s="59"/>
      <c r="B49" s="2509"/>
      <c r="C49" s="2809" t="str">
        <f t="shared" si="28"/>
        <v>Light</v>
      </c>
      <c r="D49" s="548"/>
      <c r="E49" s="549"/>
      <c r="F49" s="228" t="str">
        <f t="shared" si="25"/>
        <v>0g</v>
      </c>
      <c r="G49" s="2070">
        <f t="shared" si="29"/>
        <v>0</v>
      </c>
      <c r="H49" s="2071">
        <f t="shared" si="30"/>
        <v>0</v>
      </c>
      <c r="I49" s="1336" t="s">
        <v>804</v>
      </c>
      <c r="J49" s="544">
        <v>4.7</v>
      </c>
      <c r="K49" s="1299"/>
      <c r="L49" s="1300"/>
      <c r="M49" s="1301"/>
      <c r="N49" s="1309">
        <f>K49</f>
        <v>0</v>
      </c>
      <c r="O49" s="1310">
        <f>L49</f>
        <v>0</v>
      </c>
      <c r="P49" s="1311">
        <f>M49</f>
        <v>0</v>
      </c>
      <c r="Q49" s="1299"/>
      <c r="R49" s="1300"/>
      <c r="S49" s="1301"/>
      <c r="T49" s="35"/>
      <c r="U49" s="1051"/>
      <c r="V49" s="1051"/>
      <c r="W49" s="1051"/>
      <c r="X49" s="1020">
        <f t="shared" si="31"/>
        <v>0</v>
      </c>
      <c r="Y49" s="60" t="s">
        <v>141</v>
      </c>
      <c r="Z49" s="359">
        <f t="shared" si="32"/>
        <v>365</v>
      </c>
      <c r="AA49" s="359">
        <f t="shared" si="33"/>
        <v>0.62</v>
      </c>
      <c r="AB49" s="359">
        <f t="shared" si="34"/>
        <v>9.5</v>
      </c>
      <c r="AC49" s="359">
        <v>0</v>
      </c>
      <c r="AD49" s="9">
        <f t="shared" si="35"/>
        <v>0</v>
      </c>
      <c r="AE49" s="7">
        <f t="shared" si="36"/>
        <v>0</v>
      </c>
      <c r="AF49" s="7">
        <f t="shared" si="37"/>
        <v>0</v>
      </c>
      <c r="AG49" s="53"/>
      <c r="AH49" s="1021"/>
      <c r="AI49" s="53"/>
      <c r="AJ49" s="1022">
        <f t="shared" ref="AJ49:AR57" si="39">$J49*K49</f>
        <v>0</v>
      </c>
      <c r="AK49" s="1023">
        <f t="shared" si="39"/>
        <v>0</v>
      </c>
      <c r="AL49" s="1023">
        <f t="shared" si="39"/>
        <v>0</v>
      </c>
      <c r="AM49" s="1023">
        <f t="shared" si="39"/>
        <v>0</v>
      </c>
      <c r="AN49" s="1023">
        <f t="shared" si="39"/>
        <v>0</v>
      </c>
      <c r="AO49" s="1023">
        <f t="shared" si="39"/>
        <v>0</v>
      </c>
      <c r="AP49" s="1023">
        <f t="shared" si="39"/>
        <v>0</v>
      </c>
      <c r="AQ49" s="1023">
        <f t="shared" si="39"/>
        <v>0</v>
      </c>
      <c r="AR49" s="1023">
        <f t="shared" si="39"/>
        <v>0</v>
      </c>
      <c r="AS49" s="1255"/>
      <c r="AT49" s="3139">
        <f t="shared" si="38"/>
        <v>5.2910986084410659E-2</v>
      </c>
      <c r="AU49" s="3139"/>
      <c r="AV49" s="2368">
        <v>1.5</v>
      </c>
      <c r="AW49" s="3140">
        <f t="shared" si="27"/>
        <v>42.524249999999995</v>
      </c>
      <c r="AX49" s="3141"/>
      <c r="AY49" s="1255"/>
      <c r="AZ49" s="2333"/>
      <c r="BA49" s="2333"/>
      <c r="BB49" s="1051"/>
      <c r="BC49" s="2486"/>
    </row>
    <row r="50" spans="1:55" s="1" customFormat="1" ht="16.5" customHeight="1">
      <c r="A50" s="59"/>
      <c r="B50" s="2509"/>
      <c r="C50" s="2809" t="str">
        <f t="shared" si="28"/>
        <v>Medium</v>
      </c>
      <c r="D50" s="548"/>
      <c r="E50" s="549"/>
      <c r="F50" s="228" t="str">
        <f t="shared" si="25"/>
        <v>0g</v>
      </c>
      <c r="G50" s="2070">
        <f t="shared" si="29"/>
        <v>0</v>
      </c>
      <c r="H50" s="2071">
        <f t="shared" si="30"/>
        <v>0</v>
      </c>
      <c r="I50" s="1336" t="s">
        <v>231</v>
      </c>
      <c r="J50" s="544">
        <v>4.5</v>
      </c>
      <c r="K50" s="1299"/>
      <c r="L50" s="1300"/>
      <c r="M50" s="1301"/>
      <c r="N50" s="1309">
        <f t="shared" ref="N50:P57" si="40">K50</f>
        <v>0</v>
      </c>
      <c r="O50" s="1310">
        <f t="shared" si="40"/>
        <v>0</v>
      </c>
      <c r="P50" s="1311">
        <f t="shared" si="40"/>
        <v>0</v>
      </c>
      <c r="Q50" s="1299"/>
      <c r="R50" s="1300"/>
      <c r="S50" s="1301"/>
      <c r="T50" s="35"/>
      <c r="U50" s="1051"/>
      <c r="V50" s="1051"/>
      <c r="W50" s="1051"/>
      <c r="X50" s="1020">
        <f t="shared" si="31"/>
        <v>0</v>
      </c>
      <c r="Y50" s="60" t="s">
        <v>141</v>
      </c>
      <c r="Z50" s="359">
        <f t="shared" si="32"/>
        <v>365</v>
      </c>
      <c r="AA50" s="359">
        <f t="shared" si="33"/>
        <v>0.62</v>
      </c>
      <c r="AB50" s="359">
        <f t="shared" si="34"/>
        <v>34</v>
      </c>
      <c r="AC50" s="359">
        <v>0</v>
      </c>
      <c r="AD50" s="9">
        <f t="shared" si="35"/>
        <v>0</v>
      </c>
      <c r="AE50" s="7">
        <f t="shared" si="36"/>
        <v>0</v>
      </c>
      <c r="AF50" s="7">
        <f t="shared" si="37"/>
        <v>0</v>
      </c>
      <c r="AG50" s="53"/>
      <c r="AH50" s="1021"/>
      <c r="AI50" s="53"/>
      <c r="AJ50" s="1022">
        <f t="shared" si="39"/>
        <v>0</v>
      </c>
      <c r="AK50" s="1023">
        <f t="shared" si="39"/>
        <v>0</v>
      </c>
      <c r="AL50" s="1023">
        <f t="shared" si="39"/>
        <v>0</v>
      </c>
      <c r="AM50" s="1023">
        <f t="shared" si="39"/>
        <v>0</v>
      </c>
      <c r="AN50" s="1023">
        <f t="shared" si="39"/>
        <v>0</v>
      </c>
      <c r="AO50" s="1023">
        <f t="shared" si="39"/>
        <v>0</v>
      </c>
      <c r="AP50" s="1023">
        <f t="shared" si="39"/>
        <v>0</v>
      </c>
      <c r="AQ50" s="1023">
        <f t="shared" si="39"/>
        <v>0</v>
      </c>
      <c r="AR50" s="1023">
        <f t="shared" si="39"/>
        <v>0</v>
      </c>
      <c r="AS50" s="1255"/>
      <c r="AT50" s="3139">
        <f t="shared" si="38"/>
        <v>0</v>
      </c>
      <c r="AU50" s="3139"/>
      <c r="AV50" s="2368">
        <v>0</v>
      </c>
      <c r="AW50" s="3140">
        <f t="shared" si="27"/>
        <v>0</v>
      </c>
      <c r="AX50" s="3141"/>
      <c r="AY50" s="1255"/>
      <c r="AZ50" s="2333"/>
      <c r="BA50" s="2333"/>
      <c r="BB50" s="1051"/>
      <c r="BC50" s="2486"/>
    </row>
    <row r="51" spans="1:55" s="1" customFormat="1" ht="16.5" customHeight="1">
      <c r="A51" s="59"/>
      <c r="B51" s="2509"/>
      <c r="C51" s="2809" t="str">
        <f t="shared" si="28"/>
        <v>Dark</v>
      </c>
      <c r="D51" s="548"/>
      <c r="E51" s="549"/>
      <c r="F51" s="228" t="str">
        <f t="shared" si="25"/>
        <v>0g</v>
      </c>
      <c r="G51" s="2070">
        <f t="shared" si="29"/>
        <v>0</v>
      </c>
      <c r="H51" s="2071">
        <f t="shared" si="30"/>
        <v>0</v>
      </c>
      <c r="I51" s="1336" t="s">
        <v>233</v>
      </c>
      <c r="J51" s="544">
        <v>11.2</v>
      </c>
      <c r="K51" s="1299"/>
      <c r="L51" s="1300"/>
      <c r="M51" s="1301"/>
      <c r="N51" s="1309">
        <f t="shared" si="40"/>
        <v>0</v>
      </c>
      <c r="O51" s="1310">
        <f t="shared" si="40"/>
        <v>0</v>
      </c>
      <c r="P51" s="1311">
        <f t="shared" si="40"/>
        <v>0</v>
      </c>
      <c r="Q51" s="1299"/>
      <c r="R51" s="1300"/>
      <c r="S51" s="1301"/>
      <c r="T51" s="35"/>
      <c r="U51" s="1051"/>
      <c r="V51" s="1051"/>
      <c r="W51" s="1051"/>
      <c r="X51" s="1020">
        <f t="shared" si="31"/>
        <v>0</v>
      </c>
      <c r="Y51" s="60" t="s">
        <v>141</v>
      </c>
      <c r="Z51" s="359">
        <f t="shared" si="32"/>
        <v>365</v>
      </c>
      <c r="AA51" s="359">
        <f t="shared" si="33"/>
        <v>0.62</v>
      </c>
      <c r="AB51" s="359">
        <f t="shared" si="34"/>
        <v>57</v>
      </c>
      <c r="AC51" s="359">
        <v>0</v>
      </c>
      <c r="AD51" s="9">
        <f t="shared" si="35"/>
        <v>0</v>
      </c>
      <c r="AE51" s="7">
        <f t="shared" si="36"/>
        <v>0</v>
      </c>
      <c r="AF51" s="7">
        <f t="shared" si="37"/>
        <v>0</v>
      </c>
      <c r="AG51" s="53"/>
      <c r="AH51" s="1021"/>
      <c r="AI51" s="1019"/>
      <c r="AJ51" s="1022">
        <f t="shared" si="39"/>
        <v>0</v>
      </c>
      <c r="AK51" s="1023">
        <f t="shared" si="39"/>
        <v>0</v>
      </c>
      <c r="AL51" s="1023">
        <f t="shared" si="39"/>
        <v>0</v>
      </c>
      <c r="AM51" s="1023">
        <f t="shared" si="39"/>
        <v>0</v>
      </c>
      <c r="AN51" s="1023">
        <f t="shared" si="39"/>
        <v>0</v>
      </c>
      <c r="AO51" s="1023">
        <f t="shared" si="39"/>
        <v>0</v>
      </c>
      <c r="AP51" s="1023">
        <f t="shared" si="39"/>
        <v>0</v>
      </c>
      <c r="AQ51" s="1023">
        <f t="shared" si="39"/>
        <v>0</v>
      </c>
      <c r="AR51" s="1023">
        <f t="shared" si="39"/>
        <v>0</v>
      </c>
      <c r="AS51" s="1255"/>
      <c r="AT51" s="3139">
        <f t="shared" si="38"/>
        <v>0</v>
      </c>
      <c r="AU51" s="3139"/>
      <c r="AV51" s="2368">
        <v>0</v>
      </c>
      <c r="AW51" s="3140">
        <f t="shared" si="27"/>
        <v>0</v>
      </c>
      <c r="AX51" s="3141"/>
      <c r="AY51" s="1255"/>
      <c r="AZ51" s="2333"/>
      <c r="BA51" s="2333"/>
      <c r="BB51" s="1051"/>
      <c r="BC51" s="2486"/>
    </row>
    <row r="52" spans="1:55" s="1" customFormat="1" ht="16.5" customHeight="1">
      <c r="A52" s="59"/>
      <c r="B52" s="2509"/>
      <c r="C52" s="2809" t="str">
        <f t="shared" si="28"/>
        <v>Wheat (55%)</v>
      </c>
      <c r="D52" s="548"/>
      <c r="E52" s="549"/>
      <c r="F52" s="228" t="str">
        <f t="shared" si="25"/>
        <v>0g</v>
      </c>
      <c r="G52" s="2070">
        <f t="shared" si="29"/>
        <v>0</v>
      </c>
      <c r="H52" s="2071">
        <f t="shared" si="30"/>
        <v>0</v>
      </c>
      <c r="I52" s="1336" t="s">
        <v>234</v>
      </c>
      <c r="J52" s="544">
        <v>5</v>
      </c>
      <c r="K52" s="1299"/>
      <c r="L52" s="1300"/>
      <c r="M52" s="1301"/>
      <c r="N52" s="1309">
        <f t="shared" si="40"/>
        <v>0</v>
      </c>
      <c r="O52" s="1310">
        <f t="shared" si="40"/>
        <v>0</v>
      </c>
      <c r="P52" s="1311">
        <f t="shared" si="40"/>
        <v>0</v>
      </c>
      <c r="Q52" s="1299"/>
      <c r="R52" s="1300"/>
      <c r="S52" s="1301"/>
      <c r="T52" s="35"/>
      <c r="U52" s="1051"/>
      <c r="V52" s="1051"/>
      <c r="W52" s="1051"/>
      <c r="X52" s="1020">
        <f t="shared" si="31"/>
        <v>0</v>
      </c>
      <c r="Y52" s="60" t="s">
        <v>141</v>
      </c>
      <c r="Z52" s="359">
        <f t="shared" si="32"/>
        <v>365</v>
      </c>
      <c r="AA52" s="359">
        <f t="shared" si="33"/>
        <v>0.62</v>
      </c>
      <c r="AB52" s="359">
        <f t="shared" si="34"/>
        <v>10</v>
      </c>
      <c r="AC52" s="359">
        <v>0</v>
      </c>
      <c r="AD52" s="9">
        <f t="shared" si="35"/>
        <v>0</v>
      </c>
      <c r="AE52" s="7">
        <f t="shared" si="36"/>
        <v>0</v>
      </c>
      <c r="AF52" s="7">
        <f t="shared" si="37"/>
        <v>0</v>
      </c>
      <c r="AG52" s="53"/>
      <c r="AH52" s="1021"/>
      <c r="AI52" s="1019"/>
      <c r="AJ52" s="1022">
        <f t="shared" si="39"/>
        <v>0</v>
      </c>
      <c r="AK52" s="1023">
        <f t="shared" si="39"/>
        <v>0</v>
      </c>
      <c r="AL52" s="1023">
        <f t="shared" si="39"/>
        <v>0</v>
      </c>
      <c r="AM52" s="1023">
        <f t="shared" si="39"/>
        <v>0</v>
      </c>
      <c r="AN52" s="1023">
        <f t="shared" si="39"/>
        <v>0</v>
      </c>
      <c r="AO52" s="1023">
        <f t="shared" si="39"/>
        <v>0</v>
      </c>
      <c r="AP52" s="1023">
        <f t="shared" si="39"/>
        <v>0</v>
      </c>
      <c r="AQ52" s="1023">
        <f t="shared" si="39"/>
        <v>0</v>
      </c>
      <c r="AR52" s="1023">
        <f t="shared" si="39"/>
        <v>0</v>
      </c>
      <c r="AS52" s="1255"/>
      <c r="AT52" s="3139">
        <f t="shared" si="38"/>
        <v>0</v>
      </c>
      <c r="AU52" s="3139"/>
      <c r="AV52" s="2368">
        <v>0</v>
      </c>
      <c r="AW52" s="3140">
        <f t="shared" si="27"/>
        <v>0</v>
      </c>
      <c r="AX52" s="3141"/>
      <c r="AY52" s="1255"/>
      <c r="AZ52" s="2333"/>
      <c r="BA52" s="2333"/>
      <c r="BB52" s="1051"/>
      <c r="BC52" s="2486"/>
    </row>
    <row r="53" spans="1:55" s="1" customFormat="1" ht="16.5" customHeight="1">
      <c r="A53" s="59"/>
      <c r="B53" s="2509"/>
      <c r="C53" s="2809" t="str">
        <f t="shared" si="28"/>
        <v>OTHER</v>
      </c>
      <c r="D53" s="548"/>
      <c r="E53" s="549"/>
      <c r="F53" s="228" t="str">
        <f t="shared" si="25"/>
        <v>0g</v>
      </c>
      <c r="G53" s="2070">
        <f t="shared" si="29"/>
        <v>0</v>
      </c>
      <c r="H53" s="2071">
        <f t="shared" si="30"/>
        <v>0</v>
      </c>
      <c r="I53" s="1336" t="s">
        <v>235</v>
      </c>
      <c r="J53" s="544">
        <v>6.3</v>
      </c>
      <c r="K53" s="1299"/>
      <c r="L53" s="1300"/>
      <c r="M53" s="1301"/>
      <c r="N53" s="1309">
        <f t="shared" si="40"/>
        <v>0</v>
      </c>
      <c r="O53" s="1310">
        <f t="shared" si="40"/>
        <v>0</v>
      </c>
      <c r="P53" s="1311">
        <f t="shared" si="40"/>
        <v>0</v>
      </c>
      <c r="Q53" s="1299"/>
      <c r="R53" s="1300"/>
      <c r="S53" s="1301"/>
      <c r="T53" s="35"/>
      <c r="U53" s="1051"/>
      <c r="V53" s="1051"/>
      <c r="W53" s="1051"/>
      <c r="X53" s="1020">
        <f t="shared" si="31"/>
        <v>0</v>
      </c>
      <c r="Y53" s="60" t="s">
        <v>141</v>
      </c>
      <c r="Z53" s="359">
        <f t="shared" si="32"/>
        <v>0</v>
      </c>
      <c r="AA53" s="359">
        <f t="shared" si="33"/>
        <v>0</v>
      </c>
      <c r="AB53" s="359">
        <f t="shared" si="34"/>
        <v>0</v>
      </c>
      <c r="AC53" s="359">
        <v>0</v>
      </c>
      <c r="AD53" s="9">
        <f t="shared" si="35"/>
        <v>0</v>
      </c>
      <c r="AE53" s="7">
        <f t="shared" si="36"/>
        <v>0</v>
      </c>
      <c r="AF53" s="7">
        <f t="shared" si="37"/>
        <v>0</v>
      </c>
      <c r="AG53" s="53"/>
      <c r="AH53" s="1021"/>
      <c r="AI53" s="339"/>
      <c r="AJ53" s="1022">
        <f t="shared" si="39"/>
        <v>0</v>
      </c>
      <c r="AK53" s="1023">
        <f t="shared" si="39"/>
        <v>0</v>
      </c>
      <c r="AL53" s="1023">
        <f t="shared" si="39"/>
        <v>0</v>
      </c>
      <c r="AM53" s="1023">
        <f t="shared" si="39"/>
        <v>0</v>
      </c>
      <c r="AN53" s="1023">
        <f t="shared" si="39"/>
        <v>0</v>
      </c>
      <c r="AO53" s="1023">
        <f t="shared" si="39"/>
        <v>0</v>
      </c>
      <c r="AP53" s="1023">
        <f t="shared" si="39"/>
        <v>0</v>
      </c>
      <c r="AQ53" s="1023">
        <f t="shared" si="39"/>
        <v>0</v>
      </c>
      <c r="AR53" s="1023">
        <f t="shared" si="39"/>
        <v>0</v>
      </c>
      <c r="AS53" s="1255"/>
      <c r="AT53" s="3139">
        <f t="shared" si="38"/>
        <v>0</v>
      </c>
      <c r="AU53" s="3139"/>
      <c r="AV53" s="2368">
        <v>0</v>
      </c>
      <c r="AW53" s="3140">
        <f t="shared" si="27"/>
        <v>0</v>
      </c>
      <c r="AX53" s="3141"/>
      <c r="AY53" s="1255"/>
      <c r="AZ53" s="2333"/>
      <c r="BA53" s="2333"/>
      <c r="BB53" s="1051"/>
      <c r="BC53" s="2486"/>
    </row>
    <row r="54" spans="1:55" s="1" customFormat="1" ht="16.5" customHeight="1">
      <c r="A54" s="59"/>
      <c r="B54" s="1033"/>
      <c r="C54" s="1034"/>
      <c r="D54" s="1871"/>
      <c r="E54" s="1872"/>
      <c r="F54" s="2065"/>
      <c r="G54" s="2070"/>
      <c r="H54" s="2072"/>
      <c r="I54" s="1336" t="s">
        <v>805</v>
      </c>
      <c r="J54" s="544"/>
      <c r="K54" s="1299"/>
      <c r="L54" s="1300"/>
      <c r="M54" s="1301"/>
      <c r="N54" s="1309">
        <f t="shared" si="40"/>
        <v>0</v>
      </c>
      <c r="O54" s="1310">
        <f t="shared" si="40"/>
        <v>0</v>
      </c>
      <c r="P54" s="1311">
        <f t="shared" si="40"/>
        <v>0</v>
      </c>
      <c r="Q54" s="1299"/>
      <c r="R54" s="1300"/>
      <c r="S54" s="1301"/>
      <c r="T54" s="35"/>
      <c r="U54" s="1051"/>
      <c r="V54" s="1051"/>
      <c r="W54" s="1051"/>
      <c r="X54" s="1019"/>
      <c r="Y54" s="1019"/>
      <c r="Z54" s="1019"/>
      <c r="AA54" s="1019"/>
      <c r="AB54" s="1019"/>
      <c r="AC54" s="1019"/>
      <c r="AD54" s="1019"/>
      <c r="AE54" s="1019"/>
      <c r="AF54" s="1019"/>
      <c r="AG54" s="1019"/>
      <c r="AH54" s="1019"/>
      <c r="AI54" s="1019"/>
      <c r="AJ54" s="1022">
        <f t="shared" si="39"/>
        <v>0</v>
      </c>
      <c r="AK54" s="1023">
        <f t="shared" si="39"/>
        <v>0</v>
      </c>
      <c r="AL54" s="1023">
        <f t="shared" si="39"/>
        <v>0</v>
      </c>
      <c r="AM54" s="1023">
        <f t="shared" si="39"/>
        <v>0</v>
      </c>
      <c r="AN54" s="1023">
        <f t="shared" si="39"/>
        <v>0</v>
      </c>
      <c r="AO54" s="1023">
        <f t="shared" si="39"/>
        <v>0</v>
      </c>
      <c r="AP54" s="1023">
        <f>$J54*Q54</f>
        <v>0</v>
      </c>
      <c r="AQ54" s="1023">
        <f t="shared" si="39"/>
        <v>0</v>
      </c>
      <c r="AR54" s="1023">
        <f t="shared" si="39"/>
        <v>0</v>
      </c>
      <c r="AS54" s="1255"/>
      <c r="AT54" s="3139">
        <f t="shared" si="38"/>
        <v>0</v>
      </c>
      <c r="AU54" s="3139"/>
      <c r="AV54" s="2368">
        <v>0</v>
      </c>
      <c r="AW54" s="3140">
        <f t="shared" si="27"/>
        <v>0</v>
      </c>
      <c r="AX54" s="3141"/>
      <c r="AY54" s="1255"/>
      <c r="AZ54" s="2333"/>
      <c r="BA54" s="2333"/>
      <c r="BB54" s="1051"/>
      <c r="BC54" s="2486"/>
    </row>
    <row r="55" spans="1:55" s="1" customFormat="1" ht="16.5" customHeight="1">
      <c r="A55" s="59"/>
      <c r="B55" s="2509"/>
      <c r="C55" s="1035" t="s">
        <v>269</v>
      </c>
      <c r="D55" s="1871"/>
      <c r="E55" s="1872"/>
      <c r="F55" s="2065"/>
      <c r="G55" s="2070"/>
      <c r="H55" s="2073"/>
      <c r="I55" s="1336" t="s">
        <v>961</v>
      </c>
      <c r="J55" s="544"/>
      <c r="K55" s="1299"/>
      <c r="L55" s="1300"/>
      <c r="M55" s="1301"/>
      <c r="N55" s="1309">
        <f t="shared" si="40"/>
        <v>0</v>
      </c>
      <c r="O55" s="1310">
        <f t="shared" si="40"/>
        <v>0</v>
      </c>
      <c r="P55" s="1311">
        <f t="shared" si="40"/>
        <v>0</v>
      </c>
      <c r="Q55" s="1299"/>
      <c r="R55" s="1300"/>
      <c r="S55" s="1301"/>
      <c r="T55" s="35"/>
      <c r="U55" s="1051"/>
      <c r="V55" s="1051"/>
      <c r="W55" s="1051"/>
      <c r="X55" s="1019"/>
      <c r="Y55" s="1019"/>
      <c r="Z55" s="53"/>
      <c r="AA55" s="53"/>
      <c r="AB55" s="53"/>
      <c r="AC55" s="53"/>
      <c r="AD55" s="1028"/>
      <c r="AE55" s="53"/>
      <c r="AF55" s="53"/>
      <c r="AG55" s="53"/>
      <c r="AH55" s="1021"/>
      <c r="AI55" s="339"/>
      <c r="AJ55" s="1022">
        <f t="shared" si="39"/>
        <v>0</v>
      </c>
      <c r="AK55" s="1023">
        <f t="shared" si="39"/>
        <v>0</v>
      </c>
      <c r="AL55" s="1023">
        <f t="shared" si="39"/>
        <v>0</v>
      </c>
      <c r="AM55" s="1023">
        <f t="shared" si="39"/>
        <v>0</v>
      </c>
      <c r="AN55" s="1023">
        <f t="shared" si="39"/>
        <v>0</v>
      </c>
      <c r="AO55" s="1023">
        <f t="shared" si="39"/>
        <v>0</v>
      </c>
      <c r="AP55" s="1023">
        <f t="shared" si="39"/>
        <v>0</v>
      </c>
      <c r="AQ55" s="1023">
        <f t="shared" si="39"/>
        <v>0</v>
      </c>
      <c r="AR55" s="1023">
        <f t="shared" si="39"/>
        <v>0</v>
      </c>
      <c r="AS55" s="1255"/>
      <c r="AT55" s="3139">
        <f t="shared" si="38"/>
        <v>0</v>
      </c>
      <c r="AU55" s="3139"/>
      <c r="AV55" s="2368">
        <v>0</v>
      </c>
      <c r="AW55" s="3140">
        <f t="shared" si="27"/>
        <v>0</v>
      </c>
      <c r="AX55" s="3141"/>
      <c r="AY55" s="1255"/>
      <c r="AZ55" s="2333"/>
      <c r="BA55" s="2333"/>
      <c r="BB55" s="1051"/>
      <c r="BC55" s="2486"/>
    </row>
    <row r="56" spans="1:55" s="1" customFormat="1" ht="16.5" customHeight="1">
      <c r="A56" s="59"/>
      <c r="B56" s="2509"/>
      <c r="C56" s="2809" t="str">
        <f>C138</f>
        <v>Light</v>
      </c>
      <c r="D56" s="548"/>
      <c r="E56" s="1165"/>
      <c r="F56" s="228" t="str">
        <f t="shared" si="25"/>
        <v>0g</v>
      </c>
      <c r="G56" s="2070">
        <f>100*IF(X56=0,0,X56/X$77)</f>
        <v>0</v>
      </c>
      <c r="H56" s="2071">
        <f>IF(AD56=0,0,AD56*100/$AD$77)</f>
        <v>0</v>
      </c>
      <c r="I56" s="1336" t="s">
        <v>237</v>
      </c>
      <c r="J56" s="544"/>
      <c r="K56" s="1299"/>
      <c r="L56" s="1300"/>
      <c r="M56" s="1301"/>
      <c r="N56" s="1309">
        <f t="shared" si="40"/>
        <v>0</v>
      </c>
      <c r="O56" s="1310">
        <f t="shared" si="40"/>
        <v>0</v>
      </c>
      <c r="P56" s="1311">
        <f t="shared" si="40"/>
        <v>0</v>
      </c>
      <c r="Q56" s="1299"/>
      <c r="R56" s="1300"/>
      <c r="S56" s="1301"/>
      <c r="T56" s="35"/>
      <c r="U56" s="1051"/>
      <c r="V56" s="1051"/>
      <c r="W56" s="1051"/>
      <c r="X56" s="1020">
        <f>453.6*(D56+E56/16)</f>
        <v>0</v>
      </c>
      <c r="Y56" s="60" t="s">
        <v>141</v>
      </c>
      <c r="Z56" s="359">
        <f>D138</f>
        <v>365</v>
      </c>
      <c r="AA56" s="359">
        <f>F138</f>
        <v>0.62</v>
      </c>
      <c r="AB56" s="359">
        <f>I138</f>
        <v>9.5</v>
      </c>
      <c r="AC56" s="359">
        <f>J138</f>
        <v>36</v>
      </c>
      <c r="AD56" s="9">
        <f>0.001*X56*Z56</f>
        <v>0</v>
      </c>
      <c r="AE56" s="7">
        <f>AD56*$AA56</f>
        <v>0</v>
      </c>
      <c r="AF56" s="7">
        <f>0.01*X56*AB56</f>
        <v>0</v>
      </c>
      <c r="AG56" s="7">
        <f>0.01*X56*AC56</f>
        <v>0</v>
      </c>
      <c r="AH56" s="1021"/>
      <c r="AI56" s="339"/>
      <c r="AJ56" s="1022">
        <f t="shared" si="39"/>
        <v>0</v>
      </c>
      <c r="AK56" s="1023">
        <f t="shared" si="39"/>
        <v>0</v>
      </c>
      <c r="AL56" s="1023">
        <f t="shared" si="39"/>
        <v>0</v>
      </c>
      <c r="AM56" s="1023">
        <f t="shared" si="39"/>
        <v>0</v>
      </c>
      <c r="AN56" s="1023">
        <f t="shared" si="39"/>
        <v>0</v>
      </c>
      <c r="AO56" s="1023">
        <f t="shared" si="39"/>
        <v>0</v>
      </c>
      <c r="AP56" s="1023">
        <f t="shared" si="39"/>
        <v>0</v>
      </c>
      <c r="AQ56" s="1023">
        <f t="shared" si="39"/>
        <v>0</v>
      </c>
      <c r="AR56" s="1023">
        <f t="shared" si="39"/>
        <v>0</v>
      </c>
      <c r="AS56" s="1051"/>
      <c r="AT56" s="1051"/>
      <c r="AU56" s="1051"/>
      <c r="AV56" s="1051"/>
      <c r="AW56" s="1051"/>
      <c r="AX56" s="1051"/>
      <c r="AY56" s="1051"/>
      <c r="AZ56" s="2333"/>
      <c r="BA56" s="2333"/>
      <c r="BB56" s="1051"/>
      <c r="BC56" s="2486"/>
    </row>
    <row r="57" spans="1:55" s="1" customFormat="1" ht="16.5" customHeight="1">
      <c r="A57" s="59"/>
      <c r="B57" s="2509"/>
      <c r="C57" s="2809" t="str">
        <f>C139</f>
        <v>OTHER</v>
      </c>
      <c r="D57" s="548"/>
      <c r="E57" s="549"/>
      <c r="F57" s="228" t="str">
        <f t="shared" si="25"/>
        <v>0g</v>
      </c>
      <c r="G57" s="2070">
        <f>100*IF(X57=0,0,X57/X$77)</f>
        <v>0</v>
      </c>
      <c r="H57" s="2071">
        <f>IF(AD57=0,0,AD57*100/$AD$77)</f>
        <v>0</v>
      </c>
      <c r="I57" s="1338" t="s">
        <v>236</v>
      </c>
      <c r="J57" s="545"/>
      <c r="K57" s="1302"/>
      <c r="L57" s="1303"/>
      <c r="M57" s="1304"/>
      <c r="N57" s="1312">
        <f t="shared" si="40"/>
        <v>0</v>
      </c>
      <c r="O57" s="1313">
        <f t="shared" si="40"/>
        <v>0</v>
      </c>
      <c r="P57" s="1314">
        <f t="shared" si="40"/>
        <v>0</v>
      </c>
      <c r="Q57" s="1302"/>
      <c r="R57" s="1300"/>
      <c r="S57" s="1301"/>
      <c r="T57" s="35"/>
      <c r="U57" s="1051"/>
      <c r="V57" s="1051"/>
      <c r="W57" s="1051"/>
      <c r="X57" s="1020">
        <f>453.6*(D57+E57/16)</f>
        <v>0</v>
      </c>
      <c r="Y57" s="60" t="s">
        <v>141</v>
      </c>
      <c r="Z57" s="359">
        <f>D139</f>
        <v>0</v>
      </c>
      <c r="AA57" s="359">
        <f>F139</f>
        <v>0</v>
      </c>
      <c r="AB57" s="359">
        <f>I139</f>
        <v>0</v>
      </c>
      <c r="AC57" s="359">
        <f>J139</f>
        <v>0</v>
      </c>
      <c r="AD57" s="9">
        <f>0.001*X57*Z57</f>
        <v>0</v>
      </c>
      <c r="AE57" s="7">
        <f>AD57*$AA57</f>
        <v>0</v>
      </c>
      <c r="AF57" s="7">
        <f>0.01*X57*AB57</f>
        <v>0</v>
      </c>
      <c r="AG57" s="7">
        <f>0.01*X57*AC57</f>
        <v>0</v>
      </c>
      <c r="AH57" s="1021"/>
      <c r="AI57" s="339"/>
      <c r="AJ57" s="1022">
        <f t="shared" si="39"/>
        <v>0</v>
      </c>
      <c r="AK57" s="1023">
        <f t="shared" si="39"/>
        <v>0</v>
      </c>
      <c r="AL57" s="1023">
        <f t="shared" si="39"/>
        <v>0</v>
      </c>
      <c r="AM57" s="1023">
        <f t="shared" si="39"/>
        <v>0</v>
      </c>
      <c r="AN57" s="1023">
        <f t="shared" si="39"/>
        <v>0</v>
      </c>
      <c r="AO57" s="1023">
        <f t="shared" si="39"/>
        <v>0</v>
      </c>
      <c r="AP57" s="1023">
        <f t="shared" si="39"/>
        <v>0</v>
      </c>
      <c r="AQ57" s="1023">
        <f t="shared" si="39"/>
        <v>0</v>
      </c>
      <c r="AR57" s="1023">
        <f t="shared" si="39"/>
        <v>0</v>
      </c>
      <c r="AS57" s="1051"/>
      <c r="AT57" s="1051"/>
      <c r="AU57" s="1051"/>
      <c r="AV57" s="1051"/>
      <c r="AW57" s="1051"/>
      <c r="AX57" s="1051"/>
      <c r="AY57" s="1051"/>
      <c r="AZ57" s="2333"/>
      <c r="BA57" s="2333"/>
      <c r="BB57" s="1051"/>
      <c r="BC57" s="2486"/>
    </row>
    <row r="58" spans="1:55" s="1" customFormat="1" ht="16.5" customHeight="1">
      <c r="A58" s="59"/>
      <c r="B58" s="1024"/>
      <c r="C58" s="1030"/>
      <c r="D58" s="1037"/>
      <c r="E58" s="1038"/>
      <c r="F58" s="2066"/>
      <c r="G58" s="2070"/>
      <c r="H58" s="2071"/>
      <c r="I58" s="3303" t="s">
        <v>946</v>
      </c>
      <c r="J58" s="3303"/>
      <c r="K58" s="1305">
        <v>0</v>
      </c>
      <c r="L58" s="3304" t="str">
        <f>" = "&amp;FIXED(K58/5)&amp;" tsp (5ml)."</f>
        <v xml:space="preserve"> = 0.00 tsp (5ml).</v>
      </c>
      <c r="M58" s="3305"/>
      <c r="N58" s="1618">
        <f>K58</f>
        <v>0</v>
      </c>
      <c r="O58" s="3306" t="str">
        <f>" = "&amp;FIXED(N58/5)&amp;" tsp (5ml)."</f>
        <v xml:space="preserve"> = 0.00 tsp (5ml).</v>
      </c>
      <c r="P58" s="3307"/>
      <c r="Q58" s="2467">
        <f>K58</f>
        <v>0</v>
      </c>
      <c r="R58" s="3306" t="str">
        <f>" = "&amp;FIXED(Q58/5)&amp;" tsp (5ml)."</f>
        <v xml:space="preserve"> = 0.00 tsp (5ml).</v>
      </c>
      <c r="S58" s="3307"/>
      <c r="T58" s="35"/>
      <c r="U58" s="1051"/>
      <c r="V58" s="1051"/>
      <c r="W58" s="1051"/>
      <c r="X58" s="573"/>
      <c r="Y58" s="60"/>
      <c r="Z58" s="358" t="s">
        <v>203</v>
      </c>
      <c r="AA58" s="358" t="s">
        <v>204</v>
      </c>
      <c r="AB58" s="358" t="s">
        <v>205</v>
      </c>
      <c r="AC58" s="359" t="s">
        <v>206</v>
      </c>
      <c r="AD58" s="6" t="s">
        <v>207</v>
      </c>
      <c r="AE58" s="53"/>
      <c r="AF58" s="53"/>
      <c r="AG58" s="53"/>
      <c r="AH58" s="1039"/>
      <c r="AI58" s="1040" t="s">
        <v>147</v>
      </c>
      <c r="AJ58" s="531">
        <f>SUM(AJ33:AJ57)*28.35</f>
        <v>277.60320000000007</v>
      </c>
      <c r="AK58" s="531">
        <f t="shared" ref="AK58:AR58" si="41">SUM(AK33:AK57)*28.35</f>
        <v>0</v>
      </c>
      <c r="AL58" s="11">
        <f t="shared" si="41"/>
        <v>0</v>
      </c>
      <c r="AM58" s="11">
        <f t="shared" si="41"/>
        <v>277.60320000000007</v>
      </c>
      <c r="AN58" s="11">
        <f t="shared" si="41"/>
        <v>0</v>
      </c>
      <c r="AO58" s="11">
        <f t="shared" si="41"/>
        <v>0</v>
      </c>
      <c r="AP58" s="11">
        <f>SUM(AP33:AP57)*28.35</f>
        <v>153.09000000000003</v>
      </c>
      <c r="AQ58" s="11">
        <f t="shared" si="41"/>
        <v>0</v>
      </c>
      <c r="AR58" s="11">
        <f t="shared" si="41"/>
        <v>0</v>
      </c>
      <c r="AS58" s="1051"/>
      <c r="AT58" s="1051"/>
      <c r="AU58" s="1051"/>
      <c r="AV58" s="1051"/>
      <c r="AW58" s="1051"/>
      <c r="AX58" s="1051"/>
      <c r="AY58" s="1051"/>
      <c r="AZ58" s="2333"/>
      <c r="BA58" s="2333"/>
      <c r="BB58" s="1051"/>
      <c r="BC58" s="2486"/>
    </row>
    <row r="59" spans="1:55" s="1" customFormat="1" ht="16.5" customHeight="1">
      <c r="A59" s="59"/>
      <c r="B59" s="2509" t="s">
        <v>240</v>
      </c>
      <c r="C59" s="2505"/>
      <c r="D59" s="1041"/>
      <c r="E59" s="1038"/>
      <c r="F59" s="2066"/>
      <c r="G59" s="2070"/>
      <c r="H59" s="2071"/>
      <c r="I59" s="3146" t="s">
        <v>1519</v>
      </c>
      <c r="J59" s="3146"/>
      <c r="K59" s="3146"/>
      <c r="L59" s="3146"/>
      <c r="M59" s="3146"/>
      <c r="N59" s="3146"/>
      <c r="O59" s="3146"/>
      <c r="P59" s="3146"/>
      <c r="Q59" s="3146"/>
      <c r="R59" s="3146"/>
      <c r="S59" s="3147"/>
      <c r="T59" s="102"/>
      <c r="U59" s="1051"/>
      <c r="V59" s="1051"/>
      <c r="W59" s="1051"/>
      <c r="X59" s="344"/>
      <c r="Y59" s="60"/>
      <c r="Z59" s="358" t="s">
        <v>213</v>
      </c>
      <c r="AA59" s="358" t="s">
        <v>214</v>
      </c>
      <c r="AB59" s="358" t="s">
        <v>215</v>
      </c>
      <c r="AC59" s="359" t="s">
        <v>216</v>
      </c>
      <c r="AD59" s="9"/>
      <c r="AE59" s="56"/>
      <c r="AF59" s="56"/>
      <c r="AG59" s="53"/>
      <c r="AH59" s="1039"/>
      <c r="AI59" s="1042" t="s">
        <v>162</v>
      </c>
      <c r="AJ59" s="60">
        <f>SUM(K33:M57)</f>
        <v>2.72</v>
      </c>
      <c r="AK59" s="60"/>
      <c r="AL59" s="12"/>
      <c r="AM59" s="12">
        <f>SUM(N33:P57)</f>
        <v>2.72</v>
      </c>
      <c r="AN59" s="12"/>
      <c r="AO59" s="12"/>
      <c r="AP59" s="175">
        <f>SUM(Q33:S57)</f>
        <v>1.5</v>
      </c>
      <c r="AQ59" s="174"/>
      <c r="AR59" s="174"/>
      <c r="AS59" s="1051"/>
      <c r="AT59" s="1051"/>
      <c r="AU59" s="1051"/>
      <c r="AV59" s="1051"/>
      <c r="AW59" s="1051"/>
      <c r="AX59" s="1051"/>
      <c r="AY59" s="1051"/>
      <c r="AZ59" s="2333"/>
      <c r="BA59" s="2333"/>
      <c r="BB59" s="1051"/>
      <c r="BC59" s="2486"/>
    </row>
    <row r="60" spans="1:55" s="1" customFormat="1" ht="16.5" customHeight="1">
      <c r="A60" s="59"/>
      <c r="B60" s="2509"/>
      <c r="C60" s="2809" t="str">
        <f>C142</f>
        <v>Black</v>
      </c>
      <c r="D60" s="1166"/>
      <c r="E60" s="551"/>
      <c r="F60" s="228" t="str">
        <f t="shared" si="25"/>
        <v>0g</v>
      </c>
      <c r="G60" s="2070">
        <f t="shared" ref="G60:G67" si="42">100*IF(X60=0,0,X60/X$77)</f>
        <v>0</v>
      </c>
      <c r="H60" s="2071">
        <f>IF(AD60=0,0,AD60*100/$AD$77)</f>
        <v>0</v>
      </c>
      <c r="I60" s="3148" t="s">
        <v>113</v>
      </c>
      <c r="J60" s="3149"/>
      <c r="K60" s="2233">
        <v>16.25</v>
      </c>
      <c r="L60" s="3150" t="s">
        <v>1629</v>
      </c>
      <c r="M60" s="3151"/>
      <c r="N60" s="2234">
        <v>16.25</v>
      </c>
      <c r="O60" s="3156" t="s">
        <v>1631</v>
      </c>
      <c r="P60" s="3157"/>
      <c r="Q60" s="2235">
        <v>2</v>
      </c>
      <c r="R60" s="3162" t="s">
        <v>1632</v>
      </c>
      <c r="S60" s="3163"/>
      <c r="T60" s="2501"/>
      <c r="U60" s="1051"/>
      <c r="V60" s="1051"/>
      <c r="W60" s="1051"/>
      <c r="X60" s="1020">
        <f t="shared" ref="X60:X67" si="43">453.6*(D60+E60/16)</f>
        <v>0</v>
      </c>
      <c r="Y60" s="60" t="s">
        <v>141</v>
      </c>
      <c r="Z60" s="1043">
        <f>D142</f>
        <v>194.25</v>
      </c>
      <c r="AA60" s="359">
        <f>F142</f>
        <v>0.62</v>
      </c>
      <c r="AB60" s="359">
        <f>I142</f>
        <v>908.8</v>
      </c>
      <c r="AC60" s="359"/>
      <c r="AD60" s="9">
        <f t="shared" ref="AD60:AD67" si="44">0.001*X60*Z60</f>
        <v>0</v>
      </c>
      <c r="AE60" s="361">
        <f t="shared" ref="AE60:AE67" si="45">AD60*AA60</f>
        <v>0</v>
      </c>
      <c r="AF60" s="7">
        <f t="shared" ref="AF60:AF67" si="46">0.01*X60*AB60</f>
        <v>0</v>
      </c>
      <c r="AG60" s="53"/>
      <c r="AH60" s="1039">
        <f t="shared" ref="AH60:AH67" si="47">1-AA60</f>
        <v>0.38</v>
      </c>
      <c r="AI60" s="1044">
        <f t="shared" ref="AI60:AI67" si="48">AH60*X60</f>
        <v>0</v>
      </c>
      <c r="AJ60" s="56"/>
      <c r="AK60" s="60"/>
      <c r="AL60" s="580"/>
      <c r="AM60" s="580"/>
      <c r="AN60" s="580"/>
      <c r="AO60" s="580"/>
      <c r="AP60" s="580"/>
      <c r="AQ60" s="580"/>
      <c r="AR60" s="1019"/>
      <c r="AS60" s="2486"/>
      <c r="AT60" s="2486"/>
      <c r="AU60" s="2486"/>
      <c r="AV60" s="2486"/>
      <c r="AW60" s="2486"/>
      <c r="AX60" s="2486"/>
      <c r="AY60" s="2486"/>
      <c r="AZ60" s="2486"/>
      <c r="BA60" s="2486"/>
      <c r="BB60" s="2486"/>
      <c r="BC60" s="2486"/>
    </row>
    <row r="61" spans="1:55" s="1" customFormat="1" ht="16.5" hidden="1" customHeight="1">
      <c r="A61" s="59"/>
      <c r="B61" s="2509"/>
      <c r="C61" s="2810"/>
      <c r="D61" s="1166">
        <v>1</v>
      </c>
      <c r="E61" s="551"/>
      <c r="F61" s="228" t="str">
        <f t="shared" si="25"/>
        <v>0g</v>
      </c>
      <c r="G61" s="2070">
        <f t="shared" si="42"/>
        <v>0</v>
      </c>
      <c r="H61" s="2074"/>
      <c r="I61" s="1045"/>
      <c r="J61" s="1032"/>
      <c r="K61" s="1046">
        <f>K60-$AI$68-0.001*$AJ$59</f>
        <v>16.236507</v>
      </c>
      <c r="L61" s="3152"/>
      <c r="M61" s="3153"/>
      <c r="N61" s="1046">
        <f>N60-$AI$68-0.001*$AM$59</f>
        <v>16.236507</v>
      </c>
      <c r="O61" s="3158"/>
      <c r="P61" s="3159"/>
      <c r="Q61" s="1046">
        <f>Q60-$AI$68-0.001*$AP$59</f>
        <v>1.987727</v>
      </c>
      <c r="R61" s="3164"/>
      <c r="S61" s="3165"/>
      <c r="T61" s="2501"/>
      <c r="U61" s="1051"/>
      <c r="V61" s="1051"/>
      <c r="W61" s="1051"/>
      <c r="X61" s="1020"/>
      <c r="Y61" s="60"/>
      <c r="Z61" s="1043"/>
      <c r="AA61" s="359"/>
      <c r="AB61" s="359"/>
      <c r="AC61" s="359"/>
      <c r="AD61" s="9"/>
      <c r="AE61" s="361"/>
      <c r="AF61" s="7"/>
      <c r="AG61" s="53"/>
      <c r="AH61" s="1039"/>
      <c r="AI61" s="1044"/>
      <c r="AJ61" s="56"/>
      <c r="AK61" s="60"/>
      <c r="AL61" s="580"/>
      <c r="AM61" s="580"/>
      <c r="AN61" s="580"/>
      <c r="AO61" s="580"/>
      <c r="AP61" s="580"/>
      <c r="AQ61" s="580"/>
      <c r="AR61" s="1019"/>
      <c r="AS61" s="1019"/>
      <c r="AT61" s="1019"/>
      <c r="AU61" s="1019"/>
      <c r="AV61" s="1019"/>
      <c r="AW61" s="1019"/>
      <c r="AX61" s="1019"/>
      <c r="AY61" s="1019"/>
      <c r="AZ61" s="1019"/>
      <c r="BA61" s="1019"/>
      <c r="BB61" s="1019"/>
      <c r="BC61" s="1019"/>
    </row>
    <row r="62" spans="1:55" s="1" customFormat="1" ht="16.5" customHeight="1">
      <c r="A62" s="59"/>
      <c r="B62" s="2509"/>
      <c r="C62" s="2809" t="str">
        <f t="shared" ref="C62:C67" si="49">C143</f>
        <v>Chocolate</v>
      </c>
      <c r="D62" s="1166"/>
      <c r="E62" s="551">
        <v>1</v>
      </c>
      <c r="F62" s="228" t="str">
        <f t="shared" si="25"/>
        <v>28g</v>
      </c>
      <c r="G62" s="2070">
        <f t="shared" si="42"/>
        <v>0.78671328671328666</v>
      </c>
      <c r="H62" s="2071">
        <f t="shared" ref="H62:H67" si="50">IF(AD62=0,0,AD62*100/$AD$77)</f>
        <v>0.53922238456121174</v>
      </c>
      <c r="I62" s="3289" t="s">
        <v>372</v>
      </c>
      <c r="J62" s="3290"/>
      <c r="K62" s="211">
        <f>1000+SUM($AD33:$AD67)/$K61</f>
        <v>1065.8681274549999</v>
      </c>
      <c r="L62" s="3154"/>
      <c r="M62" s="3155"/>
      <c r="N62" s="211">
        <f>1000+SUM($AD33:$AD74)/$N61</f>
        <v>1065.8681274549999</v>
      </c>
      <c r="O62" s="3160"/>
      <c r="P62" s="3161"/>
      <c r="Q62" s="212">
        <v>1000</v>
      </c>
      <c r="R62" s="3166"/>
      <c r="S62" s="3167"/>
      <c r="T62" s="100"/>
      <c r="U62" s="1051"/>
      <c r="V62" s="1051"/>
      <c r="W62" s="1051"/>
      <c r="X62" s="1020">
        <f t="shared" si="43"/>
        <v>28.35</v>
      </c>
      <c r="Y62" s="60" t="s">
        <v>141</v>
      </c>
      <c r="Z62" s="1043">
        <f t="shared" ref="Z62:Z67" si="51">D143</f>
        <v>213.75</v>
      </c>
      <c r="AA62" s="359">
        <f t="shared" ref="AA62:AA67" si="52">F143</f>
        <v>0.62</v>
      </c>
      <c r="AB62" s="359">
        <f t="shared" ref="AB62:AB67" si="53">I143</f>
        <v>763.2</v>
      </c>
      <c r="AC62" s="359"/>
      <c r="AD62" s="9">
        <f t="shared" si="44"/>
        <v>6.0598125000000005</v>
      </c>
      <c r="AE62" s="361">
        <f t="shared" si="45"/>
        <v>3.7570837500000001</v>
      </c>
      <c r="AF62" s="7">
        <f t="shared" si="46"/>
        <v>216.36720000000003</v>
      </c>
      <c r="AG62" s="53"/>
      <c r="AH62" s="1039">
        <f t="shared" si="47"/>
        <v>0.38</v>
      </c>
      <c r="AI62" s="1044">
        <f t="shared" si="48"/>
        <v>10.773000000000001</v>
      </c>
      <c r="AJ62" s="1367"/>
      <c r="AK62" s="1368">
        <f>AK64-L63</f>
        <v>780</v>
      </c>
      <c r="AL62" s="1368"/>
      <c r="AM62" s="1369"/>
      <c r="AN62" s="1368">
        <f>AN64-O63</f>
        <v>780</v>
      </c>
      <c r="AO62" s="1369"/>
      <c r="AP62" s="1367"/>
      <c r="AQ62" s="1368">
        <f>AQ64-R63</f>
        <v>780</v>
      </c>
      <c r="AR62" s="1367"/>
      <c r="AS62" s="402" t="s">
        <v>1050</v>
      </c>
      <c r="AT62" s="3286" t="s">
        <v>1051</v>
      </c>
      <c r="AU62" s="3287"/>
      <c r="AV62" s="3288"/>
      <c r="AW62" s="3297" t="s">
        <v>1052</v>
      </c>
      <c r="AX62" s="3298"/>
      <c r="AY62" s="3299"/>
      <c r="AZ62" s="3300" t="s">
        <v>325</v>
      </c>
      <c r="BA62" s="3301"/>
      <c r="BB62" s="3302"/>
      <c r="BC62" s="2486"/>
    </row>
    <row r="63" spans="1:55" s="1" customFormat="1" ht="16.5" customHeight="1">
      <c r="A63" s="59"/>
      <c r="B63" s="2509"/>
      <c r="C63" s="2809" t="str">
        <f t="shared" si="49"/>
        <v>Crystal (light)</v>
      </c>
      <c r="D63" s="550"/>
      <c r="E63" s="551"/>
      <c r="F63" s="228" t="str">
        <f t="shared" si="25"/>
        <v>0g</v>
      </c>
      <c r="G63" s="2070">
        <f t="shared" si="42"/>
        <v>0</v>
      </c>
      <c r="H63" s="2071">
        <f t="shared" si="50"/>
        <v>0</v>
      </c>
      <c r="I63" s="3291" t="s">
        <v>114</v>
      </c>
      <c r="J63" s="3292"/>
      <c r="K63" s="2236">
        <v>60</v>
      </c>
      <c r="L63" s="2237">
        <v>30</v>
      </c>
      <c r="M63" s="2238">
        <v>15</v>
      </c>
      <c r="N63" s="2239">
        <f t="shared" ref="N63:S63" si="54">K63</f>
        <v>60</v>
      </c>
      <c r="O63" s="2240">
        <f t="shared" si="54"/>
        <v>30</v>
      </c>
      <c r="P63" s="2240">
        <f t="shared" si="54"/>
        <v>15</v>
      </c>
      <c r="Q63" s="2241">
        <f t="shared" si="54"/>
        <v>60</v>
      </c>
      <c r="R63" s="2242">
        <f t="shared" si="54"/>
        <v>30</v>
      </c>
      <c r="S63" s="2243">
        <f t="shared" si="54"/>
        <v>15</v>
      </c>
      <c r="T63" s="103"/>
      <c r="U63" s="1051"/>
      <c r="V63" s="1051"/>
      <c r="W63" s="1051"/>
      <c r="X63" s="1020">
        <f t="shared" si="43"/>
        <v>0</v>
      </c>
      <c r="Y63" s="60" t="s">
        <v>141</v>
      </c>
      <c r="Z63" s="1043">
        <f t="shared" si="51"/>
        <v>212.25</v>
      </c>
      <c r="AA63" s="359">
        <f t="shared" si="52"/>
        <v>0.62</v>
      </c>
      <c r="AB63" s="359">
        <f t="shared" si="53"/>
        <v>77.7</v>
      </c>
      <c r="AC63" s="359"/>
      <c r="AD63" s="9">
        <f t="shared" si="44"/>
        <v>0</v>
      </c>
      <c r="AE63" s="361">
        <f t="shared" si="45"/>
        <v>0</v>
      </c>
      <c r="AF63" s="7">
        <f t="shared" si="46"/>
        <v>0</v>
      </c>
      <c r="AG63" s="53"/>
      <c r="AH63" s="1039">
        <f t="shared" si="47"/>
        <v>0.38</v>
      </c>
      <c r="AI63" s="1044">
        <f t="shared" si="48"/>
        <v>0</v>
      </c>
      <c r="AJ63" s="1367"/>
      <c r="AK63" s="1368">
        <f>AK64-M63</f>
        <v>795</v>
      </c>
      <c r="AL63" s="1368"/>
      <c r="AM63" s="1369"/>
      <c r="AN63" s="1368">
        <f>AN64-P63</f>
        <v>795</v>
      </c>
      <c r="AO63" s="1369"/>
      <c r="AP63" s="1367"/>
      <c r="AQ63" s="1368">
        <f>AQ64-S63</f>
        <v>795</v>
      </c>
      <c r="AR63" s="1367"/>
      <c r="AS63" s="403" t="s">
        <v>1053</v>
      </c>
      <c r="AT63" s="2244">
        <v>12</v>
      </c>
      <c r="AU63" s="1091" t="s">
        <v>1054</v>
      </c>
      <c r="AV63" s="2245">
        <v>30</v>
      </c>
      <c r="AW63" s="2246">
        <f>AT63</f>
        <v>12</v>
      </c>
      <c r="AX63" s="1091" t="s">
        <v>1054</v>
      </c>
      <c r="AY63" s="2247">
        <f>AV63</f>
        <v>30</v>
      </c>
      <c r="AZ63" s="2244">
        <f>AT63</f>
        <v>12</v>
      </c>
      <c r="BA63" s="1091" t="s">
        <v>1054</v>
      </c>
      <c r="BB63" s="2245">
        <f>AV63</f>
        <v>30</v>
      </c>
      <c r="BC63" s="2486"/>
    </row>
    <row r="64" spans="1:55" s="1" customFormat="1" ht="16.5" customHeight="1">
      <c r="A64" s="59"/>
      <c r="B64" s="2509"/>
      <c r="C64" s="2809" t="str">
        <f t="shared" si="49"/>
        <v>Crystal (medium)</v>
      </c>
      <c r="D64" s="550"/>
      <c r="E64" s="551"/>
      <c r="F64" s="228" t="str">
        <f>1*FIXED(X64,0)&amp;"g"</f>
        <v>0g</v>
      </c>
      <c r="G64" s="2070">
        <f t="shared" si="42"/>
        <v>0</v>
      </c>
      <c r="H64" s="2071">
        <f t="shared" si="50"/>
        <v>0</v>
      </c>
      <c r="I64" s="3293" t="s">
        <v>239</v>
      </c>
      <c r="J64" s="3294"/>
      <c r="K64" s="1582">
        <f>K65*AJ58/($K61*10)</f>
        <v>34.196140986379127</v>
      </c>
      <c r="L64" s="2507">
        <f>L65*AK58/($K61*10)</f>
        <v>0</v>
      </c>
      <c r="M64" s="2506">
        <f>M65*AL58/($K61*10)</f>
        <v>0</v>
      </c>
      <c r="N64" s="1582">
        <f>N65*AM58/($N61*10)</f>
        <v>34.196140986379127</v>
      </c>
      <c r="O64" s="2507">
        <f>O65*AN58/($N61*10)</f>
        <v>0</v>
      </c>
      <c r="P64" s="2507">
        <f>P65*AO58/($N61*10)</f>
        <v>0</v>
      </c>
      <c r="Q64" s="1583">
        <f>Q65*AP58/($Q61*10)</f>
        <v>278.43546389409505</v>
      </c>
      <c r="R64" s="1582">
        <f>R65*AQ58/($Q61*10)</f>
        <v>0</v>
      </c>
      <c r="S64" s="1582">
        <f>S65*AR58/($Q61*10)</f>
        <v>0</v>
      </c>
      <c r="T64" s="103"/>
      <c r="U64" s="1051"/>
      <c r="V64" s="1051"/>
      <c r="W64" s="1051"/>
      <c r="X64" s="1020">
        <f t="shared" si="43"/>
        <v>0</v>
      </c>
      <c r="Y64" s="60" t="s">
        <v>141</v>
      </c>
      <c r="Z64" s="1043">
        <f t="shared" si="51"/>
        <v>204</v>
      </c>
      <c r="AA64" s="359">
        <f t="shared" si="52"/>
        <v>0.62</v>
      </c>
      <c r="AB64" s="359">
        <f t="shared" si="53"/>
        <v>103.6</v>
      </c>
      <c r="AC64" s="359"/>
      <c r="AD64" s="9">
        <f t="shared" si="44"/>
        <v>0</v>
      </c>
      <c r="AE64" s="361">
        <f t="shared" si="45"/>
        <v>0</v>
      </c>
      <c r="AF64" s="7">
        <f t="shared" si="46"/>
        <v>0</v>
      </c>
      <c r="AG64" s="53"/>
      <c r="AH64" s="1039">
        <f t="shared" si="47"/>
        <v>0.38</v>
      </c>
      <c r="AI64" s="1044">
        <f t="shared" si="48"/>
        <v>0</v>
      </c>
      <c r="AJ64" s="1367"/>
      <c r="AK64" s="1368">
        <f>AU68+K63</f>
        <v>810</v>
      </c>
      <c r="AL64" s="1368"/>
      <c r="AM64" s="1369"/>
      <c r="AN64" s="1368">
        <f>AX68+N63</f>
        <v>810</v>
      </c>
      <c r="AO64" s="1369"/>
      <c r="AP64" s="1367"/>
      <c r="AQ64" s="1368">
        <f>BA68+Q63</f>
        <v>810</v>
      </c>
      <c r="AR64" s="1367"/>
      <c r="AS64" s="404" t="s">
        <v>1055</v>
      </c>
      <c r="AT64" s="397">
        <f>INT(AK62/60)</f>
        <v>13</v>
      </c>
      <c r="AU64" s="1092" t="s">
        <v>1054</v>
      </c>
      <c r="AV64" s="398">
        <f>60*(MOD(AK62/60,60)-AT64)</f>
        <v>0</v>
      </c>
      <c r="AW64" s="397">
        <f>INT(AN62/60)</f>
        <v>13</v>
      </c>
      <c r="AX64" s="1094" t="s">
        <v>1054</v>
      </c>
      <c r="AY64" s="398">
        <f>60*(MOD(AN62/60,60)-AW64)</f>
        <v>0</v>
      </c>
      <c r="AZ64" s="397">
        <f>INT(AQ62/60)</f>
        <v>13</v>
      </c>
      <c r="BA64" s="1094" t="s">
        <v>1054</v>
      </c>
      <c r="BB64" s="398">
        <f>60*(MOD(AQ62/60,60)-AZ64)</f>
        <v>0</v>
      </c>
      <c r="BC64" s="2486"/>
    </row>
    <row r="65" spans="1:55" s="1" customFormat="1" ht="16.5" customHeight="1">
      <c r="A65" s="59"/>
      <c r="B65" s="2509"/>
      <c r="C65" s="2809" t="str">
        <f t="shared" si="49"/>
        <v>Crystal (dark)</v>
      </c>
      <c r="D65" s="550"/>
      <c r="E65" s="551"/>
      <c r="F65" s="228" t="str">
        <f t="shared" si="25"/>
        <v>0g</v>
      </c>
      <c r="G65" s="2070">
        <f t="shared" si="42"/>
        <v>0</v>
      </c>
      <c r="H65" s="2071">
        <f t="shared" si="50"/>
        <v>0</v>
      </c>
      <c r="I65" s="3295" t="s">
        <v>241</v>
      </c>
      <c r="J65" s="3296"/>
      <c r="K65" s="1969">
        <f>165*POWER(0.000125,0.001*($K62-1000))*(1-EXP(-$N133*$K63))/$N134</f>
        <v>20.000701811014117</v>
      </c>
      <c r="L65" s="1523">
        <f>165*POWER(0.000125,0.001*($K62-1000))*(1-EXP(-$N133*$L63))/$N134</f>
        <v>15.371035029138033</v>
      </c>
      <c r="M65" s="1524">
        <f>165*POWER(0.000125,0.001*($K62-1000))*(1-EXP(-$N133*$M63))/$N134</f>
        <v>9.9244056997805785</v>
      </c>
      <c r="N65" s="1970">
        <f>165*POWER(0.000125,0.001*($N62-1000))*(1-EXP(-$N133*$N63))/$N134</f>
        <v>20.000701811014117</v>
      </c>
      <c r="O65" s="1523">
        <f>165*POWER(0.000125,0.001*($N62-1000))*(1-EXP(-$N133*$O63))/$N134</f>
        <v>15.371035029138033</v>
      </c>
      <c r="P65" s="1523">
        <f>165*POWER(0.000125,0.001*($N62-1000))*(1-EXP(-$N133*$P63))/$N134</f>
        <v>9.9244056997805785</v>
      </c>
      <c r="Q65" s="1581">
        <f>165*POWER(0.000125,0.001*($Q62-1000))*(1-EXP(-$N133*$Q63))/$N134</f>
        <v>36.152177760782394</v>
      </c>
      <c r="R65" s="1522">
        <f>165*POWER(0.000125,0.001*($Q62-1000))*(1-EXP(-$N133*$R63))/$N134</f>
        <v>27.783844586623285</v>
      </c>
      <c r="S65" s="1522">
        <f>165*POWER(0.000125,0.001*($Q62-1000))*(1-EXP(-$N133*$S63))/$N134</f>
        <v>17.938814468550756</v>
      </c>
      <c r="T65" s="104"/>
      <c r="U65" s="1051"/>
      <c r="V65" s="1051"/>
      <c r="W65" s="1051"/>
      <c r="X65" s="1020">
        <f t="shared" si="43"/>
        <v>0</v>
      </c>
      <c r="Y65" s="60" t="s">
        <v>141</v>
      </c>
      <c r="Z65" s="1043">
        <f t="shared" si="51"/>
        <v>203.25</v>
      </c>
      <c r="AA65" s="359">
        <f t="shared" si="52"/>
        <v>0.62</v>
      </c>
      <c r="AB65" s="359">
        <f t="shared" si="53"/>
        <v>148</v>
      </c>
      <c r="AC65" s="359"/>
      <c r="AD65" s="9">
        <f t="shared" si="44"/>
        <v>0</v>
      </c>
      <c r="AE65" s="361">
        <f t="shared" si="45"/>
        <v>0</v>
      </c>
      <c r="AF65" s="7">
        <f t="shared" si="46"/>
        <v>0</v>
      </c>
      <c r="AG65" s="53"/>
      <c r="AH65" s="1039">
        <f t="shared" si="47"/>
        <v>0.38</v>
      </c>
      <c r="AI65" s="1044">
        <f t="shared" si="48"/>
        <v>0</v>
      </c>
      <c r="AJ65" s="1081"/>
      <c r="AK65" s="1081"/>
      <c r="AL65" s="1081"/>
      <c r="AM65" s="1081"/>
      <c r="AN65" s="1081"/>
      <c r="AO65" s="1081"/>
      <c r="AP65" s="1081"/>
      <c r="AQ65" s="1081"/>
      <c r="AR65" s="1081"/>
      <c r="AS65" s="405" t="s">
        <v>1056</v>
      </c>
      <c r="AT65" s="397">
        <f>INT(AK63/60)</f>
        <v>13</v>
      </c>
      <c r="AU65" s="1092" t="s">
        <v>1054</v>
      </c>
      <c r="AV65" s="398">
        <f>60*(MOD(AK63/60,60)-AT65)</f>
        <v>15</v>
      </c>
      <c r="AW65" s="397">
        <f>INT(AN63/60)</f>
        <v>13</v>
      </c>
      <c r="AX65" s="1094" t="s">
        <v>1054</v>
      </c>
      <c r="AY65" s="398">
        <f>60*(MOD(AN63/60,60)-AW65)</f>
        <v>15</v>
      </c>
      <c r="AZ65" s="397">
        <f>INT(AQ63/60)</f>
        <v>13</v>
      </c>
      <c r="BA65" s="1094" t="s">
        <v>1054</v>
      </c>
      <c r="BB65" s="398">
        <f>60*(MOD(AQ63/60,60)-AZ65)</f>
        <v>15</v>
      </c>
      <c r="BC65" s="2486"/>
    </row>
    <row r="66" spans="1:55" s="1" customFormat="1" ht="16.5" customHeight="1">
      <c r="A66" s="59"/>
      <c r="B66" s="2509"/>
      <c r="C66" s="2809" t="str">
        <f t="shared" si="49"/>
        <v>Roast barley</v>
      </c>
      <c r="D66" s="550"/>
      <c r="E66" s="551"/>
      <c r="F66" s="228" t="str">
        <f t="shared" si="25"/>
        <v>0g</v>
      </c>
      <c r="G66" s="2070">
        <f t="shared" si="42"/>
        <v>0</v>
      </c>
      <c r="H66" s="2071">
        <f t="shared" si="50"/>
        <v>0</v>
      </c>
      <c r="I66" s="3280" t="s">
        <v>124</v>
      </c>
      <c r="J66" s="3281"/>
      <c r="K66" s="1595">
        <f>K64*$K61/$D$23</f>
        <v>24.140255760797025</v>
      </c>
      <c r="L66" s="1596">
        <f>L64*$K61/$D$23</f>
        <v>0</v>
      </c>
      <c r="M66" s="1597">
        <f>M64*$K61/$D$23</f>
        <v>0</v>
      </c>
      <c r="N66" s="1595">
        <f>N64*$N61/$D$23</f>
        <v>24.140255760797025</v>
      </c>
      <c r="O66" s="1596">
        <f>O64*$N61/$D$23</f>
        <v>0</v>
      </c>
      <c r="P66" s="1596">
        <f>P64*$N61/$D$23</f>
        <v>0</v>
      </c>
      <c r="Q66" s="1598">
        <f>Q64*$Q61/$D$23</f>
        <v>24.063203884339906</v>
      </c>
      <c r="R66" s="1525">
        <f>R64*$Q61/$D$23</f>
        <v>0</v>
      </c>
      <c r="S66" s="1525">
        <f>S64*$Q61/$D$23</f>
        <v>0</v>
      </c>
      <c r="T66" s="1047"/>
      <c r="U66" s="1051"/>
      <c r="V66" s="1051"/>
      <c r="W66" s="1051"/>
      <c r="X66" s="1020">
        <f>453.6*(D66+E66/16)</f>
        <v>0</v>
      </c>
      <c r="Y66" s="60" t="s">
        <v>141</v>
      </c>
      <c r="Z66" s="1043">
        <f t="shared" si="51"/>
        <v>207</v>
      </c>
      <c r="AA66" s="359">
        <f t="shared" si="52"/>
        <v>0.62</v>
      </c>
      <c r="AB66" s="359">
        <f t="shared" si="53"/>
        <v>902.8</v>
      </c>
      <c r="AC66" s="359"/>
      <c r="AD66" s="9">
        <f t="shared" si="44"/>
        <v>0</v>
      </c>
      <c r="AE66" s="361">
        <f t="shared" si="45"/>
        <v>0</v>
      </c>
      <c r="AF66" s="7">
        <f t="shared" si="46"/>
        <v>0</v>
      </c>
      <c r="AG66" s="53"/>
      <c r="AH66" s="1039">
        <f t="shared" si="47"/>
        <v>0.38</v>
      </c>
      <c r="AI66" s="1044">
        <f t="shared" si="48"/>
        <v>0</v>
      </c>
      <c r="AJ66" s="57"/>
      <c r="AK66" s="57"/>
      <c r="AL66" s="160"/>
      <c r="AM66" s="160"/>
      <c r="AN66" s="160"/>
      <c r="AO66" s="160"/>
      <c r="AP66" s="160"/>
      <c r="AQ66" s="160"/>
      <c r="AR66" s="160"/>
      <c r="AS66" s="406" t="s">
        <v>1057</v>
      </c>
      <c r="AT66" s="399">
        <f>INT(AK64/60)</f>
        <v>13</v>
      </c>
      <c r="AU66" s="1093" t="s">
        <v>1054</v>
      </c>
      <c r="AV66" s="400">
        <f>60*(MOD(AK64/60,60)-AT66)</f>
        <v>30</v>
      </c>
      <c r="AW66" s="399">
        <f>INT(AN64/60)</f>
        <v>13</v>
      </c>
      <c r="AX66" s="1093" t="s">
        <v>1054</v>
      </c>
      <c r="AY66" s="400">
        <f>60*(MOD(AN64/60,60)-AW66)</f>
        <v>30</v>
      </c>
      <c r="AZ66" s="399">
        <f>INT(AQ64/60)</f>
        <v>13</v>
      </c>
      <c r="BA66" s="1093" t="s">
        <v>1054</v>
      </c>
      <c r="BB66" s="400">
        <f>60*(MOD(AQ64/60,60)-AZ66)</f>
        <v>30</v>
      </c>
      <c r="BC66" s="2486"/>
    </row>
    <row r="67" spans="1:55" s="1" customFormat="1" ht="16.5" customHeight="1">
      <c r="A67" s="59"/>
      <c r="B67" s="2509"/>
      <c r="C67" s="2811" t="str">
        <f t="shared" si="49"/>
        <v>OTHER</v>
      </c>
      <c r="D67" s="550"/>
      <c r="E67" s="551"/>
      <c r="F67" s="228" t="str">
        <f t="shared" si="25"/>
        <v>0g</v>
      </c>
      <c r="G67" s="2070">
        <f t="shared" si="42"/>
        <v>0</v>
      </c>
      <c r="H67" s="2071">
        <f t="shared" si="50"/>
        <v>0</v>
      </c>
      <c r="I67" s="590"/>
      <c r="J67" s="590"/>
      <c r="K67" s="2301" t="s">
        <v>244</v>
      </c>
      <c r="L67" s="1606">
        <f>(AG68+K66+L66+M66)+(K58*P155*S155/(M155*D23))</f>
        <v>24.140255760797025</v>
      </c>
      <c r="M67" s="1607" t="s">
        <v>216</v>
      </c>
      <c r="N67" s="2302" t="s">
        <v>244</v>
      </c>
      <c r="O67" s="1272">
        <f>AG68+N66+O66+P66+(N58*P155*S155/(M155*D23))</f>
        <v>24.140255760797025</v>
      </c>
      <c r="P67" s="1273" t="s">
        <v>216</v>
      </c>
      <c r="Q67" s="2303" t="s">
        <v>244</v>
      </c>
      <c r="R67" s="1270">
        <f>(AG68+Q66+R66+S66)+(Q58*P155*S155/(M155*D23))</f>
        <v>24.063203884339906</v>
      </c>
      <c r="S67" s="1271" t="s">
        <v>216</v>
      </c>
      <c r="T67" s="105"/>
      <c r="U67" s="1051"/>
      <c r="V67" s="1051"/>
      <c r="W67" s="1051"/>
      <c r="X67" s="1020">
        <f t="shared" si="43"/>
        <v>0</v>
      </c>
      <c r="Y67" s="60" t="s">
        <v>141</v>
      </c>
      <c r="Z67" s="1043">
        <f t="shared" si="51"/>
        <v>0</v>
      </c>
      <c r="AA67" s="359">
        <f t="shared" si="52"/>
        <v>0</v>
      </c>
      <c r="AB67" s="359">
        <f t="shared" si="53"/>
        <v>0</v>
      </c>
      <c r="AC67" s="359"/>
      <c r="AD67" s="9">
        <f t="shared" si="44"/>
        <v>0</v>
      </c>
      <c r="AE67" s="361">
        <f t="shared" si="45"/>
        <v>0</v>
      </c>
      <c r="AF67" s="7">
        <f t="shared" si="46"/>
        <v>0</v>
      </c>
      <c r="AG67" s="53"/>
      <c r="AH67" s="1039">
        <f t="shared" si="47"/>
        <v>1</v>
      </c>
      <c r="AI67" s="1044">
        <f t="shared" si="48"/>
        <v>0</v>
      </c>
      <c r="AJ67" s="1049"/>
      <c r="AK67" s="1049"/>
      <c r="AL67" s="1050"/>
      <c r="AM67" s="1050"/>
      <c r="AN67" s="160"/>
      <c r="AO67" s="160"/>
      <c r="AP67" s="160"/>
      <c r="AQ67" s="160"/>
      <c r="AR67" s="160"/>
      <c r="AS67" s="406" t="s">
        <v>1058</v>
      </c>
      <c r="AT67" s="3205" t="str">
        <f>K63&amp;" mins"</f>
        <v>60 mins</v>
      </c>
      <c r="AU67" s="3009"/>
      <c r="AV67" s="3206"/>
      <c r="AW67" s="3142" t="str">
        <f>N63&amp;" mins"</f>
        <v>60 mins</v>
      </c>
      <c r="AX67" s="3143"/>
      <c r="AY67" s="3144"/>
      <c r="AZ67" s="3205" t="str">
        <f>Q63&amp;" mins"</f>
        <v>60 mins</v>
      </c>
      <c r="BA67" s="3009"/>
      <c r="BB67" s="3206"/>
      <c r="BC67" s="2486"/>
    </row>
    <row r="68" spans="1:55" s="1" customFormat="1" ht="16.5" customHeight="1">
      <c r="A68" s="59"/>
      <c r="B68" s="2509"/>
      <c r="C68" s="1025"/>
      <c r="D68" s="1037"/>
      <c r="E68" s="1038"/>
      <c r="F68" s="2066"/>
      <c r="G68" s="2075"/>
      <c r="H68" s="2071"/>
      <c r="I68" s="591"/>
      <c r="J68" s="1052"/>
      <c r="K68" s="3282" t="s">
        <v>58</v>
      </c>
      <c r="L68" s="3282"/>
      <c r="M68" s="3282"/>
      <c r="N68" s="3282"/>
      <c r="O68" s="3282"/>
      <c r="P68" s="3283"/>
      <c r="Q68" s="3207" t="str">
        <f>"Suggested min. boil vol. for Method 2 is "&amp;FIXED((AP68/0.1111)/13,1)&amp;" litres ("&amp;Q60&amp;" used) &amp; a min. sieve / colander capacity of "&amp;FIXED(0.1+(AP68/0.111)/17,1)&amp;" litres."</f>
        <v>Suggested min. boil vol. for Method 2 is 1.0 litres (2 used) &amp; a min. sieve / colander capacity of 0.9 litres.</v>
      </c>
      <c r="R68" s="3208"/>
      <c r="S68" s="3209"/>
      <c r="T68" s="101"/>
      <c r="U68" s="1051"/>
      <c r="V68" s="1051"/>
      <c r="W68" s="1051"/>
      <c r="X68" s="573"/>
      <c r="Y68" s="60"/>
      <c r="Z68" s="53"/>
      <c r="AA68" s="53"/>
      <c r="AB68" s="53"/>
      <c r="AC68" s="53"/>
      <c r="AD68" s="1028"/>
      <c r="AE68" s="53"/>
      <c r="AF68" s="53"/>
      <c r="AG68" s="16">
        <f>SUM(AG42:AG57)/D23</f>
        <v>0</v>
      </c>
      <c r="AH68" s="14" t="s">
        <v>255</v>
      </c>
      <c r="AI68" s="1053">
        <f>(SUM(AI60:AI67))/1000</f>
        <v>1.0773000000000001E-2</v>
      </c>
      <c r="AJ68" s="60" t="s">
        <v>150</v>
      </c>
      <c r="AK68" s="1054"/>
      <c r="AL68" s="1050"/>
      <c r="AM68" s="1050"/>
      <c r="AN68" s="160"/>
      <c r="AO68" s="160"/>
      <c r="AP68" s="160">
        <f>SUM(Q33:S57)</f>
        <v>1.5</v>
      </c>
      <c r="AQ68" s="160"/>
      <c r="AR68" s="160"/>
      <c r="AS68" s="530" t="s">
        <v>1146</v>
      </c>
      <c r="AT68" s="396"/>
      <c r="AU68" s="557">
        <f>AT63*60+AV63</f>
        <v>750</v>
      </c>
      <c r="AV68" s="557"/>
      <c r="AW68" s="558"/>
      <c r="AX68" s="557">
        <f>AW63*60+AY63</f>
        <v>750</v>
      </c>
      <c r="AY68" s="559"/>
      <c r="AZ68" s="559"/>
      <c r="BA68" s="557">
        <f>AZ63*60+BB63</f>
        <v>750</v>
      </c>
      <c r="BB68" s="559"/>
      <c r="BC68" s="383"/>
    </row>
    <row r="69" spans="1:55" s="1" customFormat="1" ht="16.5" customHeight="1">
      <c r="A69" s="59"/>
      <c r="B69" s="2509" t="s">
        <v>284</v>
      </c>
      <c r="C69" s="1048"/>
      <c r="D69" s="1041"/>
      <c r="E69" s="1038"/>
      <c r="F69" s="2066"/>
      <c r="G69" s="2075"/>
      <c r="H69" s="2071"/>
      <c r="I69" s="591"/>
      <c r="J69" s="1055"/>
      <c r="K69" s="3284"/>
      <c r="L69" s="3284"/>
      <c r="M69" s="3284"/>
      <c r="N69" s="3284"/>
      <c r="O69" s="3284"/>
      <c r="P69" s="3285"/>
      <c r="Q69" s="3210"/>
      <c r="R69" s="3211"/>
      <c r="S69" s="3212"/>
      <c r="T69" s="97"/>
      <c r="U69" s="1051"/>
      <c r="V69" s="1051"/>
      <c r="W69" s="1051"/>
      <c r="X69" s="1019"/>
      <c r="Y69" s="1019"/>
      <c r="Z69" s="1019"/>
      <c r="AA69" s="1019"/>
      <c r="AB69" s="1019"/>
      <c r="AC69" s="1019"/>
      <c r="AD69" s="1019"/>
      <c r="AE69" s="1019"/>
      <c r="AF69" s="1019"/>
      <c r="AG69" s="1019"/>
      <c r="AH69" s="1056"/>
      <c r="AI69" s="1057"/>
      <c r="AJ69" s="1049"/>
      <c r="AK69" s="1054"/>
      <c r="AL69" s="1058"/>
      <c r="AM69" s="1059"/>
      <c r="AN69" s="160"/>
      <c r="AO69" s="160"/>
      <c r="AP69" s="160"/>
      <c r="AQ69" s="160"/>
      <c r="AR69" s="160"/>
      <c r="AS69" s="383"/>
      <c r="AT69" s="383"/>
      <c r="AU69" s="383"/>
      <c r="AV69" s="383"/>
      <c r="AW69" s="383"/>
      <c r="AX69" s="383"/>
      <c r="AY69" s="383"/>
      <c r="AZ69" s="383"/>
      <c r="BA69" s="383"/>
      <c r="BB69" s="383"/>
      <c r="BC69" s="1051"/>
    </row>
    <row r="70" spans="1:55" s="1" customFormat="1" ht="16.5" customHeight="1">
      <c r="A70" s="59"/>
      <c r="B70" s="2509"/>
      <c r="C70" s="2811" t="str">
        <f>C151</f>
        <v>Cane sugar</v>
      </c>
      <c r="D70" s="552"/>
      <c r="E70" s="553"/>
      <c r="F70" s="228" t="str">
        <f>1*FIXED(X70,0)&amp;"g"</f>
        <v>0g</v>
      </c>
      <c r="G70" s="2070">
        <f>100*IF(X70=0,0,X70/X$77)</f>
        <v>0</v>
      </c>
      <c r="H70" s="2071">
        <f>IF(AD70=0,0,AD70*100/$AD$77)</f>
        <v>0</v>
      </c>
      <c r="I70" s="1055"/>
      <c r="J70" s="1055"/>
      <c r="K70" s="3284"/>
      <c r="L70" s="3284"/>
      <c r="M70" s="3284"/>
      <c r="N70" s="3284"/>
      <c r="O70" s="3284"/>
      <c r="P70" s="3285"/>
      <c r="Q70" s="3210"/>
      <c r="R70" s="3211"/>
      <c r="S70" s="3212"/>
      <c r="T70" s="106"/>
      <c r="U70" s="1051"/>
      <c r="V70" s="1051"/>
      <c r="W70" s="1051"/>
      <c r="X70" s="1020">
        <f>453.6*(D70+E70/16)</f>
        <v>0</v>
      </c>
      <c r="Y70" s="1051"/>
      <c r="Z70" s="1060">
        <f>D151</f>
        <v>375</v>
      </c>
      <c r="AA70" s="1060">
        <f>F151</f>
        <v>1</v>
      </c>
      <c r="AB70" s="1060">
        <f>I151</f>
        <v>0</v>
      </c>
      <c r="AC70" s="1060">
        <v>0</v>
      </c>
      <c r="AD70" s="80">
        <f>0.001*X70*Z70</f>
        <v>0</v>
      </c>
      <c r="AE70" s="158">
        <f t="shared" ref="AE70:AE75" si="55">AD70*AA70</f>
        <v>0</v>
      </c>
      <c r="AF70" s="36">
        <f>0.01*X70*AB70</f>
        <v>0</v>
      </c>
      <c r="AG70" s="1051"/>
      <c r="AH70" s="1051"/>
      <c r="AI70" s="1051"/>
      <c r="AJ70" s="1051"/>
      <c r="AK70" s="1051"/>
      <c r="AL70" s="1051"/>
      <c r="AM70" s="1051"/>
      <c r="AN70" s="1051"/>
      <c r="AO70" s="1051"/>
      <c r="AP70" s="1051"/>
      <c r="AQ70" s="1051"/>
      <c r="AR70" s="1051"/>
      <c r="AS70" s="1051"/>
      <c r="AT70" s="1051"/>
      <c r="AU70" s="1051"/>
      <c r="AV70" s="1051"/>
      <c r="AW70" s="1051"/>
      <c r="AX70" s="1051"/>
      <c r="AY70" s="1051"/>
      <c r="AZ70" s="1051"/>
      <c r="BA70" s="1051"/>
      <c r="BB70" s="1051"/>
      <c r="BC70" s="1051"/>
    </row>
    <row r="71" spans="1:55" s="1" customFormat="1" ht="16.5" customHeight="1">
      <c r="A71" s="59"/>
      <c r="B71" s="2509"/>
      <c r="C71" s="2811" t="str">
        <f>C152</f>
        <v>Brown sugar (light)</v>
      </c>
      <c r="D71" s="552"/>
      <c r="E71" s="553"/>
      <c r="F71" s="228" t="str">
        <f t="shared" si="25"/>
        <v>0g</v>
      </c>
      <c r="G71" s="2070">
        <f>100*IF(X71=0,0,X71/X$77)</f>
        <v>0</v>
      </c>
      <c r="H71" s="2071">
        <f>IF(AD71=0,0,AD71*100/$AD$77)</f>
        <v>0</v>
      </c>
      <c r="I71" s="592"/>
      <c r="J71" s="1055"/>
      <c r="K71" s="3284"/>
      <c r="L71" s="3284"/>
      <c r="M71" s="3284"/>
      <c r="N71" s="3284"/>
      <c r="O71" s="3284"/>
      <c r="P71" s="3285"/>
      <c r="Q71" s="3213"/>
      <c r="R71" s="3214"/>
      <c r="S71" s="3215"/>
      <c r="T71" s="99"/>
      <c r="U71" s="1051"/>
      <c r="V71" s="1051"/>
      <c r="W71" s="1051"/>
      <c r="X71" s="1020">
        <f>453.6*(D71+E71/16)</f>
        <v>0</v>
      </c>
      <c r="Y71" s="66" t="s">
        <v>141</v>
      </c>
      <c r="Z71" s="1060">
        <f>D152</f>
        <v>370</v>
      </c>
      <c r="AA71" s="1060">
        <f>F152</f>
        <v>1</v>
      </c>
      <c r="AB71" s="1060">
        <f>I152</f>
        <v>16</v>
      </c>
      <c r="AC71" s="1060">
        <v>0</v>
      </c>
      <c r="AD71" s="80">
        <f>0.001*X71*Z71</f>
        <v>0</v>
      </c>
      <c r="AE71" s="158">
        <f t="shared" si="55"/>
        <v>0</v>
      </c>
      <c r="AF71" s="36">
        <f>0.01*X71*AB71</f>
        <v>0</v>
      </c>
      <c r="AG71" s="158"/>
      <c r="AH71" s="1063"/>
      <c r="AI71" s="1064"/>
      <c r="AJ71" s="573"/>
      <c r="AK71" s="585"/>
      <c r="AL71" s="1062"/>
      <c r="AM71" s="1059"/>
      <c r="AN71" s="160"/>
      <c r="AO71" s="160"/>
      <c r="AP71" s="160"/>
      <c r="AQ71" s="160"/>
      <c r="AR71" s="160"/>
      <c r="AS71" s="1051"/>
      <c r="AT71" s="1051"/>
      <c r="AU71" s="1051"/>
      <c r="AV71" s="1051"/>
      <c r="AW71" s="1051"/>
      <c r="AX71" s="1051"/>
      <c r="AY71" s="1051"/>
      <c r="AZ71" s="1051"/>
      <c r="BA71" s="1051"/>
      <c r="BB71" s="1051"/>
      <c r="BC71" s="1051"/>
    </row>
    <row r="72" spans="1:55" s="1" customFormat="1" ht="16.5" customHeight="1">
      <c r="A72" s="59"/>
      <c r="B72" s="2509"/>
      <c r="C72" s="2812" t="str">
        <f>C153</f>
        <v>Invert sugar</v>
      </c>
      <c r="D72" s="554"/>
      <c r="E72" s="553"/>
      <c r="F72" s="228" t="str">
        <f t="shared" si="25"/>
        <v>0g</v>
      </c>
      <c r="G72" s="2070">
        <f>100*IF(X72=0,0,X72/X$77)</f>
        <v>0</v>
      </c>
      <c r="H72" s="2071">
        <f>IF(AD72=0,0,AD72*100/$AD$77)</f>
        <v>0</v>
      </c>
      <c r="I72" s="591"/>
      <c r="J72" s="1055"/>
      <c r="K72" s="2484" t="s">
        <v>1147</v>
      </c>
      <c r="L72" s="2484"/>
      <c r="M72" s="2484"/>
      <c r="N72" s="2484"/>
      <c r="O72" s="2484"/>
      <c r="P72" s="253"/>
      <c r="Q72" s="1862"/>
      <c r="R72" s="59"/>
      <c r="S72" s="59"/>
      <c r="T72" s="74"/>
      <c r="U72" s="1051"/>
      <c r="V72" s="1051"/>
      <c r="W72" s="1051"/>
      <c r="X72" s="1020">
        <f>453.6*(D72+E72/16)</f>
        <v>0</v>
      </c>
      <c r="Y72" s="66" t="s">
        <v>141</v>
      </c>
      <c r="Z72" s="158">
        <f>D153</f>
        <v>319</v>
      </c>
      <c r="AA72" s="158">
        <f>F153</f>
        <v>0.85</v>
      </c>
      <c r="AB72" s="158">
        <f>I153</f>
        <v>0</v>
      </c>
      <c r="AC72" s="158">
        <v>0</v>
      </c>
      <c r="AD72" s="47">
        <f>0.001*X72*Z72</f>
        <v>0</v>
      </c>
      <c r="AE72" s="158">
        <f t="shared" si="55"/>
        <v>0</v>
      </c>
      <c r="AF72" s="36">
        <f>0.01*X72*AB72</f>
        <v>0</v>
      </c>
      <c r="AG72" s="158"/>
      <c r="AH72" s="1063"/>
      <c r="AI72" s="1064"/>
      <c r="AJ72" s="170"/>
      <c r="AK72" s="170"/>
      <c r="AL72" s="170"/>
      <c r="AM72" s="170"/>
      <c r="AN72" s="170"/>
      <c r="AO72" s="170"/>
      <c r="AP72" s="170"/>
      <c r="AQ72" s="170"/>
      <c r="AR72" s="170"/>
      <c r="AS72" s="1051"/>
      <c r="AT72" s="1051"/>
      <c r="AU72" s="1051"/>
      <c r="AV72" s="1051"/>
      <c r="AW72" s="1051"/>
      <c r="AX72" s="1051"/>
      <c r="AY72" s="1051"/>
      <c r="AZ72" s="1051"/>
      <c r="BA72" s="1051"/>
      <c r="BB72" s="1051"/>
      <c r="BC72" s="1051"/>
    </row>
    <row r="73" spans="1:55" s="1" customFormat="1" ht="16.5" customHeight="1">
      <c r="A73" s="59"/>
      <c r="B73" s="2509"/>
      <c r="C73" s="2813" t="s">
        <v>143</v>
      </c>
      <c r="D73" s="1148">
        <f>INT(0.85*(D72+E72/16))</f>
        <v>0</v>
      </c>
      <c r="E73" s="3263" t="str">
        <f>"lb "&amp;FIXED(16*((0.85*(D72+E72/16))-D73),1)&amp;" oz  OR  "&amp;FIXED(0.85*(D72+E72/16),3)&amp;" lb"</f>
        <v>lb 0.0 oz  OR  0.000 lb</v>
      </c>
      <c r="F73" s="3263"/>
      <c r="G73" s="3263"/>
      <c r="H73" s="3264"/>
      <c r="I73" s="1055"/>
      <c r="J73" s="1055"/>
      <c r="K73" s="3238" t="s">
        <v>1148</v>
      </c>
      <c r="L73" s="3223"/>
      <c r="M73" s="2471">
        <v>5.2</v>
      </c>
      <c r="N73" s="2471">
        <v>6.3</v>
      </c>
      <c r="O73" s="3277" t="s">
        <v>1149</v>
      </c>
      <c r="P73" s="3278"/>
      <c r="Q73" s="1774"/>
      <c r="R73" s="59"/>
      <c r="S73" s="59"/>
      <c r="T73" s="98"/>
      <c r="U73" s="1051"/>
      <c r="V73" s="1051"/>
      <c r="W73" s="1051"/>
      <c r="X73" s="69">
        <f>0.85*X72</f>
        <v>0</v>
      </c>
      <c r="Y73" s="60" t="s">
        <v>141</v>
      </c>
      <c r="Z73" s="158"/>
      <c r="AA73" s="158"/>
      <c r="AB73" s="158"/>
      <c r="AC73" s="158"/>
      <c r="AD73" s="1019"/>
      <c r="AE73" s="1019"/>
      <c r="AF73" s="36"/>
      <c r="AG73" s="158"/>
      <c r="AH73" s="72"/>
      <c r="AI73" s="72"/>
      <c r="AJ73" s="1065"/>
      <c r="AK73" s="1066"/>
      <c r="AL73" s="1066"/>
      <c r="AM73" s="1066"/>
      <c r="AN73" s="1067"/>
      <c r="AO73" s="1067"/>
      <c r="AP73" s="1067"/>
      <c r="AQ73" s="1067"/>
      <c r="AR73" s="1067"/>
      <c r="AS73" s="1051"/>
      <c r="AT73" s="1051"/>
      <c r="AU73" s="1051"/>
      <c r="AV73" s="1051"/>
      <c r="AW73" s="1051"/>
      <c r="AX73" s="1051"/>
      <c r="AY73" s="1051"/>
      <c r="AZ73" s="1051"/>
      <c r="BA73" s="1051"/>
      <c r="BB73" s="1051"/>
      <c r="BC73" s="1051"/>
    </row>
    <row r="74" spans="1:55" s="1" customFormat="1" ht="16.5" customHeight="1">
      <c r="A74" s="59"/>
      <c r="B74" s="2509"/>
      <c r="C74" s="2811" t="str">
        <f>C154</f>
        <v>Lactose</v>
      </c>
      <c r="D74" s="554"/>
      <c r="E74" s="554"/>
      <c r="F74" s="229" t="str">
        <f>FIXED(X74,0)&amp;"g"</f>
        <v>0g</v>
      </c>
      <c r="G74" s="2070">
        <f>100*IF(X74=0,0,X74/X$77)</f>
        <v>0</v>
      </c>
      <c r="H74" s="2071">
        <f>IF(AD74=0,0,AD74*100/$AD$77)</f>
        <v>0</v>
      </c>
      <c r="I74" s="1055"/>
      <c r="J74" s="1055"/>
      <c r="K74" s="3238" t="s">
        <v>1507</v>
      </c>
      <c r="L74" s="3223"/>
      <c r="M74" s="2471">
        <v>45</v>
      </c>
      <c r="N74" s="1609">
        <f>(M74*M73)/N73</f>
        <v>37.142857142857146</v>
      </c>
      <c r="O74" s="3277" t="s">
        <v>1508</v>
      </c>
      <c r="P74" s="3278"/>
      <c r="Q74" s="1774"/>
      <c r="R74" s="59"/>
      <c r="S74" s="59"/>
      <c r="T74" s="2517"/>
      <c r="U74" s="1051"/>
      <c r="V74" s="1051"/>
      <c r="W74" s="1051"/>
      <c r="X74" s="1020">
        <f>453.6*(D74+E74/16)</f>
        <v>0</v>
      </c>
      <c r="Y74" s="60" t="s">
        <v>141</v>
      </c>
      <c r="Z74" s="72"/>
      <c r="AA74" s="72"/>
      <c r="AB74" s="72"/>
      <c r="AC74" s="72"/>
      <c r="AD74" s="72"/>
      <c r="AE74" s="72"/>
      <c r="AF74" s="72"/>
      <c r="AG74" s="72"/>
      <c r="AH74" s="1068"/>
      <c r="AI74" s="1068"/>
      <c r="AJ74" s="1065"/>
      <c r="AK74" s="1066"/>
      <c r="AL74" s="1066"/>
      <c r="AM74" s="1069"/>
      <c r="AN74" s="1067"/>
      <c r="AO74" s="1067"/>
      <c r="AP74" s="1067"/>
      <c r="AQ74" s="1067"/>
      <c r="AR74" s="573"/>
      <c r="AS74" s="1051"/>
      <c r="AT74" s="1051"/>
      <c r="AU74" s="1051"/>
      <c r="AV74" s="1051"/>
      <c r="AW74" s="1051"/>
      <c r="AX74" s="1051"/>
      <c r="AY74" s="1051"/>
      <c r="AZ74" s="1051"/>
      <c r="BA74" s="1051"/>
      <c r="BB74" s="1051"/>
      <c r="BC74" s="1051"/>
    </row>
    <row r="75" spans="1:55" s="1" customFormat="1" ht="16.5" customHeight="1">
      <c r="A75" s="59"/>
      <c r="B75" s="2509"/>
      <c r="C75" s="2811" t="str">
        <f>C155</f>
        <v>Honey (1 lb = 454g)</v>
      </c>
      <c r="D75" s="1843"/>
      <c r="E75" s="1842"/>
      <c r="F75" s="229" t="str">
        <f>FIXED(X75,0)&amp;"g"</f>
        <v>0g</v>
      </c>
      <c r="G75" s="2070">
        <f>100*IF(X75=0,0,X75/X$77)</f>
        <v>0</v>
      </c>
      <c r="H75" s="2071">
        <f>IF(AD75=0,0,AD75*100/$AD$77)</f>
        <v>0</v>
      </c>
      <c r="I75" s="560"/>
      <c r="J75" s="1055"/>
      <c r="K75" s="560"/>
      <c r="L75" s="560"/>
      <c r="M75" s="560"/>
      <c r="N75" s="560"/>
      <c r="O75" s="560"/>
      <c r="P75" s="560"/>
      <c r="Q75" s="1774"/>
      <c r="R75" s="59"/>
      <c r="S75" s="59"/>
      <c r="T75" s="2511"/>
      <c r="U75" s="1051"/>
      <c r="V75" s="1051"/>
      <c r="W75" s="1958"/>
      <c r="X75" s="1020">
        <f>453.6*(D75+E75/16)</f>
        <v>0</v>
      </c>
      <c r="Y75" s="60" t="s">
        <v>141</v>
      </c>
      <c r="Z75" s="1070">
        <f>D155</f>
        <v>300</v>
      </c>
      <c r="AA75" s="1070">
        <f>F155</f>
        <v>0.95</v>
      </c>
      <c r="AB75" s="1070">
        <f>I155</f>
        <v>10</v>
      </c>
      <c r="AC75" s="1070">
        <v>0</v>
      </c>
      <c r="AD75" s="47">
        <f>0.001*X75*Z75</f>
        <v>0</v>
      </c>
      <c r="AE75" s="1070">
        <f t="shared" si="55"/>
        <v>0</v>
      </c>
      <c r="AF75" s="47">
        <f>0.01*X75*AB75</f>
        <v>0</v>
      </c>
      <c r="AG75" s="1070"/>
      <c r="AH75" s="1071"/>
      <c r="AI75" s="1068"/>
      <c r="AJ75" s="1066"/>
      <c r="AK75" s="573"/>
      <c r="AL75" s="573"/>
      <c r="AM75" s="1069"/>
      <c r="AN75" s="1067"/>
      <c r="AO75" s="1067"/>
      <c r="AP75" s="1067"/>
      <c r="AQ75" s="1067"/>
      <c r="AR75" s="573"/>
      <c r="AS75" s="1051"/>
      <c r="AT75" s="1051"/>
      <c r="AU75" s="1051"/>
      <c r="AV75" s="1051"/>
      <c r="AW75" s="1051"/>
      <c r="AX75" s="1051"/>
      <c r="AY75" s="1051"/>
      <c r="AZ75" s="1051"/>
      <c r="BA75" s="1051"/>
      <c r="BB75" s="1051"/>
      <c r="BC75" s="1051"/>
    </row>
    <row r="76" spans="1:55" s="1" customFormat="1" ht="16.5" customHeight="1">
      <c r="A76" s="59"/>
      <c r="B76" s="3275" t="s">
        <v>144</v>
      </c>
      <c r="C76" s="3276"/>
      <c r="D76" s="2602">
        <v>6.3</v>
      </c>
      <c r="E76" s="3268" t="str">
        <f>"g / litre = "&amp;1*FIXED(D76/O22)&amp;" level 5ml tsp"</f>
        <v>g / litre = 2 level 5ml tsp</v>
      </c>
      <c r="F76" s="3269"/>
      <c r="G76" s="3269"/>
      <c r="H76" s="1809"/>
      <c r="I76" s="560"/>
      <c r="J76" s="560"/>
      <c r="K76" s="3270" t="s">
        <v>806</v>
      </c>
      <c r="L76" s="3270"/>
      <c r="M76" s="3270"/>
      <c r="N76" s="3270"/>
      <c r="O76" s="1949"/>
      <c r="P76" s="560"/>
      <c r="Q76" s="1774"/>
      <c r="R76" s="1774"/>
      <c r="S76" s="1774"/>
      <c r="T76" s="1774"/>
      <c r="U76" s="1051"/>
      <c r="V76" s="1051"/>
      <c r="W76" s="1051"/>
      <c r="X76" s="1947">
        <f>D76</f>
        <v>6.3</v>
      </c>
      <c r="Y76" s="1861" t="s">
        <v>960</v>
      </c>
      <c r="Z76" s="1070">
        <f>D151</f>
        <v>375</v>
      </c>
      <c r="AA76" s="1070">
        <f>F151</f>
        <v>1</v>
      </c>
      <c r="AB76" s="47"/>
      <c r="AC76" s="47"/>
      <c r="AD76" s="2286">
        <f>0.001*X76*Z76*D$23</f>
        <v>54.337499999999999</v>
      </c>
      <c r="AE76" s="47">
        <f>AD76*AA76</f>
        <v>54.337499999999999</v>
      </c>
      <c r="AF76" s="16">
        <f>SUM(AF33:AF75)/D23</f>
        <v>24.3218347826087</v>
      </c>
      <c r="AG76" s="14" t="s">
        <v>254</v>
      </c>
      <c r="AH76" s="532"/>
      <c r="AI76" s="533">
        <f>0.01*AH77*(I5-I6)/(7.75-(3*(I5-1000)/800))</f>
        <v>0.27709753103964241</v>
      </c>
      <c r="AJ76" s="534" t="s">
        <v>21</v>
      </c>
      <c r="AK76" s="573"/>
      <c r="AL76" s="573"/>
      <c r="AM76" s="1069"/>
      <c r="AN76" s="1067"/>
      <c r="AO76" s="1067"/>
      <c r="AP76" s="1067"/>
      <c r="AQ76" s="1067"/>
      <c r="AR76" s="573"/>
      <c r="AS76" s="3279" t="s">
        <v>1627</v>
      </c>
      <c r="AT76" s="3279"/>
      <c r="AU76" s="3279"/>
      <c r="AV76" s="3279"/>
      <c r="AW76" s="3279"/>
      <c r="AX76" s="1531"/>
      <c r="AY76" s="1051"/>
      <c r="AZ76" s="1051"/>
      <c r="BA76" s="1051"/>
      <c r="BB76" s="1051"/>
      <c r="BC76" s="1051"/>
    </row>
    <row r="77" spans="1:55" s="1" customFormat="1" ht="16.5" customHeight="1">
      <c r="A77" s="59"/>
      <c r="B77" s="1813"/>
      <c r="C77" s="1801" t="s">
        <v>4</v>
      </c>
      <c r="D77" s="1873">
        <f>D76*0.0200448</f>
        <v>0.12628224000000002</v>
      </c>
      <c r="E77" s="3268" t="s">
        <v>1558</v>
      </c>
      <c r="F77" s="3269"/>
      <c r="G77" s="2076"/>
      <c r="H77" s="2077"/>
      <c r="I77" s="560"/>
      <c r="J77" s="560"/>
      <c r="K77" s="1863" t="s">
        <v>154</v>
      </c>
      <c r="L77" s="3271" t="s">
        <v>1562</v>
      </c>
      <c r="M77" s="3272"/>
      <c r="N77" s="1816" t="s">
        <v>196</v>
      </c>
      <c r="O77" s="1055"/>
      <c r="P77" s="1051"/>
      <c r="Q77" s="1774"/>
      <c r="R77" s="1774"/>
      <c r="S77" s="1774"/>
      <c r="T77" s="1774"/>
      <c r="U77" s="1051"/>
      <c r="V77" s="1051"/>
      <c r="W77" s="1051"/>
      <c r="X77" s="86">
        <f>(SUM(X33:X75)+D23*X76)-X73</f>
        <v>3603.6000000000004</v>
      </c>
      <c r="Y77" s="1002"/>
      <c r="Z77" s="1070"/>
      <c r="AA77" s="1070"/>
      <c r="AB77" s="47"/>
      <c r="AC77" s="1072" t="s">
        <v>331</v>
      </c>
      <c r="AD77" s="1073">
        <f>AD76+SUM(AD33:AD75)</f>
        <v>1123.8058125</v>
      </c>
      <c r="AE77" s="47"/>
      <c r="AF77" s="1070"/>
      <c r="AG77" s="1070"/>
      <c r="AH77" s="535">
        <f>7.01*0.7894</f>
        <v>5.5336939999999997</v>
      </c>
      <c r="AI77" s="533">
        <f>0.00000001*I6*((1000*I5)/AH77+(819.2*I6)-1000400)</f>
        <v>0.17518258449249283</v>
      </c>
      <c r="AJ77" s="534" t="s">
        <v>21</v>
      </c>
      <c r="AK77" s="573"/>
      <c r="AL77" s="573"/>
      <c r="AM77" s="1069"/>
      <c r="AN77" s="1067"/>
      <c r="AO77" s="1067"/>
      <c r="AP77" s="1067"/>
      <c r="AQ77" s="1067"/>
      <c r="AR77" s="573"/>
      <c r="AS77" s="2306" t="s">
        <v>1111</v>
      </c>
      <c r="AT77" s="3258" t="s">
        <v>1112</v>
      </c>
      <c r="AU77" s="3258"/>
      <c r="AV77" s="3258"/>
      <c r="AW77" s="3258"/>
      <c r="AX77" s="3258"/>
      <c r="AY77" s="3258"/>
      <c r="AZ77" s="3258"/>
      <c r="BA77" s="3258"/>
      <c r="BB77" s="3258"/>
      <c r="BC77" s="2307"/>
    </row>
    <row r="78" spans="1:55" s="1" customFormat="1" ht="16.5" customHeight="1">
      <c r="A78" s="37"/>
      <c r="B78" s="1812"/>
      <c r="C78" s="1125"/>
      <c r="D78" s="1873">
        <f>D76*0.0167</f>
        <v>0.10521</v>
      </c>
      <c r="E78" s="3268" t="s">
        <v>1559</v>
      </c>
      <c r="F78" s="3269"/>
      <c r="G78" s="2078">
        <f>100*IF(X76=0,0,X76*D23/$X$77)</f>
        <v>4.0209790209790208</v>
      </c>
      <c r="H78" s="2071">
        <f>IF(AD76=0,0,AD76*100/$AD$77)</f>
        <v>4.8351324931414696</v>
      </c>
      <c r="I78" s="589"/>
      <c r="J78" s="1230"/>
      <c r="K78" s="28">
        <f>L78*$D$115/$D$130</f>
        <v>8.493150684931507</v>
      </c>
      <c r="L78" s="3273">
        <v>10</v>
      </c>
      <c r="M78" s="3274"/>
      <c r="N78" s="28">
        <f>L78*$D$130/$D$115</f>
        <v>11.774193548387096</v>
      </c>
      <c r="O78" s="1055"/>
      <c r="P78" s="1051"/>
      <c r="Q78" s="1774"/>
      <c r="R78" s="1774"/>
      <c r="S78" s="1774"/>
      <c r="T78" s="1774"/>
      <c r="U78" s="1051"/>
      <c r="V78" s="1051"/>
      <c r="W78" s="1051"/>
      <c r="X78" s="1002"/>
      <c r="Y78" s="1002"/>
      <c r="Z78" s="1019"/>
      <c r="AA78" s="1019"/>
      <c r="AB78" s="573"/>
      <c r="AC78" s="573"/>
      <c r="AD78" s="573"/>
      <c r="AE78" s="573"/>
      <c r="AF78" s="573"/>
      <c r="AG78" s="1049"/>
      <c r="AH78" s="536"/>
      <c r="AI78" s="533">
        <f>SUM(AI76:AI77)</f>
        <v>0.45228011553213521</v>
      </c>
      <c r="AJ78" s="534" t="s">
        <v>21</v>
      </c>
      <c r="AK78" s="573"/>
      <c r="AL78" s="573"/>
      <c r="AM78" s="1066"/>
      <c r="AN78" s="1067"/>
      <c r="AO78" s="1067"/>
      <c r="AP78" s="1067"/>
      <c r="AQ78" s="1067"/>
      <c r="AR78" s="1067"/>
      <c r="AS78" s="1254"/>
      <c r="AT78" s="3259" t="s">
        <v>1113</v>
      </c>
      <c r="AU78" s="3259"/>
      <c r="AV78" s="3259"/>
      <c r="AW78" s="3259"/>
      <c r="AX78" s="3259"/>
      <c r="AY78" s="3259"/>
      <c r="AZ78" s="3259"/>
      <c r="BA78" s="3259"/>
      <c r="BB78" s="3259"/>
      <c r="BC78" s="2307"/>
    </row>
    <row r="79" spans="1:55" s="1" customFormat="1" ht="16.5" customHeight="1">
      <c r="A79" s="37"/>
      <c r="B79" s="1810"/>
      <c r="C79" s="1796" t="s">
        <v>1549</v>
      </c>
      <c r="D79" s="2468">
        <v>1500</v>
      </c>
      <c r="E79" s="3216" t="str">
        <f>"ml bottle. use "&amp;FIXED((D76*D79/1000),3)&amp;"g "</f>
        <v xml:space="preserve">ml bottle. use 9.450g </v>
      </c>
      <c r="F79" s="3217"/>
      <c r="G79" s="3217"/>
      <c r="H79" s="2522"/>
      <c r="I79" s="230"/>
      <c r="J79" s="1074"/>
      <c r="K79" s="3145" t="s">
        <v>1546</v>
      </c>
      <c r="L79" s="3145"/>
      <c r="M79" s="3145"/>
      <c r="N79" s="3145"/>
      <c r="O79" s="1775"/>
      <c r="P79" s="1051"/>
      <c r="Q79" s="1774"/>
      <c r="R79" s="1774"/>
      <c r="S79" s="1774"/>
      <c r="T79" s="1774"/>
      <c r="U79" s="1051"/>
      <c r="V79" s="1051"/>
      <c r="W79" s="1051"/>
      <c r="X79" s="71"/>
      <c r="Y79" s="71"/>
      <c r="Z79" s="2" t="s">
        <v>193</v>
      </c>
      <c r="AA79" s="1075">
        <f>89.6/342</f>
        <v>0.26198830409356721</v>
      </c>
      <c r="AB79" s="171"/>
      <c r="AC79" s="171"/>
      <c r="AD79" s="171"/>
      <c r="AE79" s="171"/>
      <c r="AF79" s="1067"/>
      <c r="AG79" s="1067"/>
      <c r="AH79" s="57"/>
      <c r="AI79" s="56"/>
      <c r="AJ79" s="56"/>
      <c r="AK79" s="56"/>
      <c r="AL79" s="56"/>
      <c r="AM79" s="56"/>
      <c r="AN79" s="56"/>
      <c r="AO79" s="56"/>
      <c r="AP79" s="56"/>
      <c r="AQ79" s="56"/>
      <c r="AR79" s="56"/>
      <c r="AS79" s="1420"/>
      <c r="AT79" s="3027" t="s">
        <v>1626</v>
      </c>
      <c r="AU79" s="3027"/>
      <c r="AV79" s="3027"/>
      <c r="AW79" s="3027"/>
      <c r="AX79" s="3027"/>
      <c r="AY79" s="3027"/>
      <c r="AZ79" s="3027"/>
      <c r="BA79" s="3027"/>
      <c r="BB79" s="3027"/>
      <c r="BC79" s="3027"/>
    </row>
    <row r="80" spans="1:55" s="1" customFormat="1" ht="16.5" customHeight="1">
      <c r="A80" s="37"/>
      <c r="B80" s="1810"/>
      <c r="C80" s="1036"/>
      <c r="D80" s="1874"/>
      <c r="E80" s="3252" t="str">
        <f>"OR "&amp;FIXED((D76*D79/(1000*(O22))),3)&amp;" level 5ml tsp."</f>
        <v>OR 3.000 level 5ml tsp.</v>
      </c>
      <c r="F80" s="3253"/>
      <c r="G80" s="3253"/>
      <c r="H80" s="1875"/>
      <c r="I80" s="1076"/>
      <c r="J80" s="1074"/>
      <c r="K80" s="560"/>
      <c r="L80" s="560"/>
      <c r="M80" s="560"/>
      <c r="N80" s="560"/>
      <c r="O80" s="1051"/>
      <c r="P80" s="1051"/>
      <c r="Q80" s="1051"/>
      <c r="R80" s="1051"/>
      <c r="S80" s="1051"/>
      <c r="T80" s="1774"/>
      <c r="U80" s="1051"/>
      <c r="V80" s="1051"/>
      <c r="W80" s="1051"/>
      <c r="X80" s="1051"/>
      <c r="Y80" s="1051"/>
      <c r="Z80" s="1077" t="s">
        <v>174</v>
      </c>
      <c r="AA80" s="3" t="s">
        <v>175</v>
      </c>
      <c r="AB80" s="1051"/>
      <c r="AC80" s="1051"/>
      <c r="AD80" s="1051"/>
      <c r="AE80" s="1051"/>
      <c r="AF80" s="1051"/>
      <c r="AG80" s="1051"/>
      <c r="AH80" s="1051"/>
      <c r="AI80" s="1051"/>
      <c r="AJ80" s="1051"/>
      <c r="AK80" s="1051"/>
      <c r="AL80" s="1051"/>
      <c r="AM80" s="1051"/>
      <c r="AN80" s="1051"/>
      <c r="AO80" s="1051"/>
      <c r="AP80" s="1051"/>
      <c r="AQ80" s="1051"/>
      <c r="AR80" s="1051"/>
      <c r="AS80" s="1051"/>
      <c r="AT80" s="1051"/>
      <c r="AU80" s="1051"/>
      <c r="AV80" s="1051"/>
      <c r="AW80" s="1051"/>
      <c r="AX80" s="1051"/>
      <c r="AY80" s="1051"/>
      <c r="AZ80" s="1051"/>
      <c r="BA80" s="1051"/>
      <c r="BB80" s="1051"/>
      <c r="BC80" s="1051"/>
    </row>
    <row r="81" spans="1:55" s="1" customFormat="1" ht="16.5" customHeight="1">
      <c r="A81" s="37"/>
      <c r="B81" s="1810"/>
      <c r="C81" s="2579" t="s">
        <v>1535</v>
      </c>
      <c r="D81" s="1836">
        <f>D76*$AA$79+VLOOKUP($D$25,Z$81:$AA$124,2)</f>
        <v>2.5275263157894736</v>
      </c>
      <c r="E81" s="1874"/>
      <c r="F81" s="1844" t="s">
        <v>245</v>
      </c>
      <c r="G81" s="3254" t="str">
        <f>FIXED(X77/453.6)&amp;" lbs / "&amp;1*FIXED(X77,0)&amp;"g"</f>
        <v>7.94 lbs / 3604g</v>
      </c>
      <c r="H81" s="3255"/>
      <c r="I81" s="3256" t="s">
        <v>1524</v>
      </c>
      <c r="J81" s="3257"/>
      <c r="K81" s="3257"/>
      <c r="L81" s="3257"/>
      <c r="M81" s="3257"/>
      <c r="N81" s="1960"/>
      <c r="O81" s="1948"/>
      <c r="P81" s="1948"/>
      <c r="Q81" s="1948"/>
      <c r="R81" s="1051"/>
      <c r="S81" s="1051"/>
      <c r="T81" s="1051"/>
      <c r="U81" s="1051"/>
      <c r="V81" s="1051"/>
      <c r="W81" s="1051"/>
      <c r="X81" s="41"/>
      <c r="Y81" s="41"/>
      <c r="Z81" s="2709">
        <v>0</v>
      </c>
      <c r="AA81" s="2711">
        <v>1.7130000000000001</v>
      </c>
      <c r="AB81" s="1067"/>
      <c r="AC81" s="573"/>
      <c r="AD81" s="573"/>
      <c r="AE81" s="1067"/>
      <c r="AF81" s="1067"/>
      <c r="AG81" s="1067"/>
      <c r="AH81" s="57"/>
      <c r="AI81" s="56"/>
      <c r="AJ81" s="56"/>
      <c r="AK81" s="56"/>
      <c r="AL81" s="56"/>
      <c r="AM81" s="56"/>
      <c r="AN81" s="56"/>
      <c r="AO81" s="56"/>
      <c r="AP81" s="56"/>
      <c r="AQ81" s="56"/>
      <c r="AR81" s="56"/>
      <c r="AS81" s="1051"/>
      <c r="AT81" s="1051"/>
      <c r="AU81" s="1051"/>
      <c r="AV81" s="1051"/>
      <c r="AW81" s="1051"/>
      <c r="AX81" s="1051"/>
      <c r="AY81" s="1051"/>
      <c r="AZ81" s="1051"/>
      <c r="BA81" s="1051"/>
      <c r="BB81" s="1051"/>
      <c r="BC81" s="1051"/>
    </row>
    <row r="82" spans="1:55" s="1" customFormat="1" ht="16.5" customHeight="1">
      <c r="A82" s="37"/>
      <c r="B82" s="1810"/>
      <c r="C82" s="3244" t="s">
        <v>1578</v>
      </c>
      <c r="D82" s="3244"/>
      <c r="E82" s="3244"/>
      <c r="F82" s="3244"/>
      <c r="G82" s="3244"/>
      <c r="H82" s="3245"/>
      <c r="I82" s="589"/>
      <c r="J82" s="1074"/>
      <c r="K82" s="1863" t="s">
        <v>286</v>
      </c>
      <c r="L82" s="1863" t="s">
        <v>181</v>
      </c>
      <c r="M82" s="1863" t="s">
        <v>379</v>
      </c>
      <c r="N82" s="59"/>
      <c r="O82" s="1863" t="s">
        <v>285</v>
      </c>
      <c r="P82" s="1863" t="s">
        <v>31</v>
      </c>
      <c r="Q82" s="1863" t="s">
        <v>380</v>
      </c>
      <c r="R82" s="1051"/>
      <c r="S82" s="1051"/>
      <c r="T82" s="1051"/>
      <c r="U82" s="1051"/>
      <c r="V82" s="1051"/>
      <c r="W82" s="1051"/>
      <c r="X82" s="41"/>
      <c r="Y82" s="41"/>
      <c r="Z82" s="2709">
        <v>1</v>
      </c>
      <c r="AA82" s="2711">
        <v>1.6459999999999999</v>
      </c>
      <c r="AB82" s="1067"/>
      <c r="AC82" s="573"/>
      <c r="AD82" s="573"/>
      <c r="AE82" s="1067"/>
      <c r="AF82" s="1067"/>
      <c r="AG82" s="1067"/>
      <c r="AH82" s="57"/>
      <c r="AI82" s="56"/>
      <c r="AJ82" s="56"/>
      <c r="AK82" s="56"/>
      <c r="AL82" s="56"/>
      <c r="AM82" s="56"/>
      <c r="AN82" s="56"/>
      <c r="AO82" s="56"/>
      <c r="AP82" s="56"/>
      <c r="AQ82" s="56"/>
      <c r="AR82" s="56"/>
      <c r="AS82" s="1051"/>
      <c r="AT82" s="1051"/>
      <c r="AU82" s="1051"/>
      <c r="AV82" s="1051"/>
      <c r="AW82" s="1051"/>
      <c r="AX82" s="1051"/>
      <c r="AY82" s="1051"/>
      <c r="AZ82" s="1051"/>
      <c r="BA82" s="1051"/>
      <c r="BB82" s="1051"/>
      <c r="BC82" s="1051"/>
    </row>
    <row r="83" spans="1:55" s="1" customFormat="1" ht="16.5" customHeight="1">
      <c r="A83" s="37"/>
      <c r="B83" s="1772"/>
      <c r="C83" s="2579" t="s">
        <v>246</v>
      </c>
      <c r="D83" s="2469" t="s">
        <v>247</v>
      </c>
      <c r="E83" s="1874"/>
      <c r="F83" s="73" t="s">
        <v>248</v>
      </c>
      <c r="G83" s="2079">
        <f>SUM(G33:G78)/100</f>
        <v>1.0000000000000002</v>
      </c>
      <c r="H83" s="1811">
        <f>SUM(G33:G78)/100</f>
        <v>1.0000000000000002</v>
      </c>
      <c r="I83" s="589"/>
      <c r="J83" s="1074"/>
      <c r="K83" s="2472">
        <v>5</v>
      </c>
      <c r="L83" s="28">
        <f>K83*3.7854*6/5</f>
        <v>22.712399999999999</v>
      </c>
      <c r="M83" s="28">
        <f>K83*8</f>
        <v>40</v>
      </c>
      <c r="N83" s="59"/>
      <c r="O83" s="2472">
        <v>5</v>
      </c>
      <c r="P83" s="28">
        <f>3.7854*O83</f>
        <v>18.927</v>
      </c>
      <c r="Q83" s="28">
        <f>O83*8</f>
        <v>40</v>
      </c>
      <c r="R83" s="1051"/>
      <c r="S83" s="1051"/>
      <c r="T83" s="1051"/>
      <c r="U83" s="1051"/>
      <c r="V83" s="1051"/>
      <c r="W83" s="1051"/>
      <c r="X83" s="158"/>
      <c r="Y83" s="158"/>
      <c r="Z83" s="2709">
        <v>2</v>
      </c>
      <c r="AA83" s="2712">
        <v>1.5840000000000001</v>
      </c>
      <c r="AB83" s="1067"/>
      <c r="AC83" s="573"/>
      <c r="AD83" s="573"/>
      <c r="AE83" s="1067"/>
      <c r="AF83" s="1067"/>
      <c r="AG83" s="1067"/>
      <c r="AH83" s="57"/>
      <c r="AI83" s="56"/>
      <c r="AJ83" s="56"/>
      <c r="AK83" s="56"/>
      <c r="AL83" s="56"/>
      <c r="AM83" s="56"/>
      <c r="AN83" s="56"/>
      <c r="AO83" s="56"/>
      <c r="AP83" s="56"/>
      <c r="AQ83" s="56"/>
      <c r="AR83" s="56"/>
      <c r="AS83" s="1051"/>
      <c r="AT83" s="1051"/>
      <c r="AU83" s="1051"/>
      <c r="AV83" s="1051"/>
      <c r="AW83" s="1051"/>
      <c r="AX83" s="1051"/>
      <c r="AY83" s="1051"/>
      <c r="AZ83" s="1051"/>
      <c r="BA83" s="1051"/>
      <c r="BB83" s="1051"/>
      <c r="BC83" s="1051"/>
    </row>
    <row r="84" spans="1:55" s="1" customFormat="1" ht="16.5" customHeight="1">
      <c r="A84" s="37"/>
      <c r="B84" s="1773"/>
      <c r="C84" s="2508" t="s">
        <v>1518</v>
      </c>
      <c r="D84" s="2470">
        <v>76</v>
      </c>
      <c r="E84" s="3265" t="s">
        <v>36</v>
      </c>
      <c r="F84" s="3266"/>
      <c r="G84" s="2080"/>
      <c r="H84" s="1875"/>
      <c r="I84" s="589"/>
      <c r="J84" s="1074"/>
      <c r="K84" s="1051"/>
      <c r="L84" s="1051"/>
      <c r="M84" s="3267" t="s">
        <v>1536</v>
      </c>
      <c r="N84" s="3267"/>
      <c r="O84" s="3267"/>
      <c r="P84" s="2614"/>
      <c r="Q84" s="2626"/>
      <c r="R84" s="1051"/>
      <c r="S84" s="1051"/>
      <c r="T84" s="1774"/>
      <c r="U84" s="1051"/>
      <c r="V84" s="1051"/>
      <c r="W84" s="1051"/>
      <c r="X84" s="158"/>
      <c r="Y84" s="158"/>
      <c r="Z84" s="2709">
        <v>3</v>
      </c>
      <c r="AA84" s="2712">
        <v>1.53</v>
      </c>
      <c r="AB84" s="1067"/>
      <c r="AC84" s="573"/>
      <c r="AD84" s="573"/>
      <c r="AE84" s="1067"/>
      <c r="AF84" s="1067"/>
      <c r="AG84" s="1067"/>
      <c r="AH84" s="57"/>
      <c r="AI84" s="56"/>
      <c r="AJ84" s="56"/>
      <c r="AK84" s="56"/>
      <c r="AL84" s="56"/>
      <c r="AM84" s="56"/>
      <c r="AN84" s="56"/>
      <c r="AO84" s="56"/>
      <c r="AP84" s="56"/>
      <c r="AQ84" s="56"/>
      <c r="AR84" s="56"/>
      <c r="AS84" s="1051"/>
      <c r="AT84" s="1051"/>
      <c r="AU84" s="1051"/>
      <c r="AV84" s="1051"/>
      <c r="AW84" s="1051"/>
      <c r="AX84" s="1051"/>
      <c r="AY84" s="1051"/>
      <c r="AZ84" s="1051"/>
      <c r="BA84" s="1051"/>
      <c r="BB84" s="1051"/>
      <c r="BC84" s="1051"/>
    </row>
    <row r="85" spans="1:55" s="1" customFormat="1" ht="16.5" customHeight="1">
      <c r="A85" s="37"/>
      <c r="B85" s="1773"/>
      <c r="C85" s="3260" t="s">
        <v>1760</v>
      </c>
      <c r="D85" s="3261"/>
      <c r="E85" s="2799" t="str">
        <f>FIXED((100*(1-(AD95/AD94))),1)&amp;"%"</f>
        <v>76.0%</v>
      </c>
      <c r="F85" s="3262" t="s">
        <v>1758</v>
      </c>
      <c r="G85" s="3262"/>
      <c r="H85" s="2800" t="str">
        <f>FIXED(100*(1-(((0.1808*AD94)+(0.8192*AD95))/AD94)),1)&amp;"%"</f>
        <v>62.3%</v>
      </c>
      <c r="I85" s="589"/>
      <c r="J85" s="1019"/>
      <c r="K85" s="258" t="s">
        <v>181</v>
      </c>
      <c r="L85" s="258" t="s">
        <v>379</v>
      </c>
      <c r="M85" s="258" t="s">
        <v>380</v>
      </c>
      <c r="N85" s="59"/>
      <c r="O85" s="258" t="s">
        <v>181</v>
      </c>
      <c r="P85" s="258" t="s">
        <v>380</v>
      </c>
      <c r="Q85" s="258" t="s">
        <v>379</v>
      </c>
      <c r="R85" s="1051"/>
      <c r="S85" s="1051"/>
      <c r="T85" s="1774"/>
      <c r="U85" s="1051"/>
      <c r="V85" s="1051"/>
      <c r="W85" s="1051"/>
      <c r="X85" s="158"/>
      <c r="Y85" s="158"/>
      <c r="Z85" s="2709">
        <v>4</v>
      </c>
      <c r="AA85" s="2712">
        <v>1.4730000000000001</v>
      </c>
      <c r="AB85" s="1067"/>
      <c r="AC85" s="573"/>
      <c r="AD85" s="573"/>
      <c r="AE85" s="1067"/>
      <c r="AF85" s="1067"/>
      <c r="AG85" s="1067"/>
      <c r="AH85" s="57"/>
      <c r="AI85" s="56"/>
      <c r="AJ85" s="56"/>
      <c r="AK85" s="56"/>
      <c r="AL85" s="56"/>
      <c r="AM85" s="56"/>
      <c r="AN85" s="56"/>
      <c r="AO85" s="56"/>
      <c r="AP85" s="56"/>
      <c r="AQ85" s="56"/>
      <c r="AR85" s="56"/>
      <c r="AS85" s="1051"/>
      <c r="AT85" s="1051"/>
      <c r="AU85" s="1051"/>
      <c r="AV85" s="1051"/>
      <c r="AW85" s="1051"/>
      <c r="AX85" s="1051"/>
      <c r="AY85" s="1051"/>
      <c r="AZ85" s="1051"/>
      <c r="BA85" s="1051"/>
      <c r="BB85" s="1051"/>
      <c r="BC85" s="1051"/>
    </row>
    <row r="86" spans="1:55" s="1" customFormat="1" ht="16.5" customHeight="1">
      <c r="A86" s="37"/>
      <c r="B86" s="1773"/>
      <c r="C86" s="3239" t="s">
        <v>1567</v>
      </c>
      <c r="D86" s="3239"/>
      <c r="E86" s="3239"/>
      <c r="F86" s="3239"/>
      <c r="G86" s="3239"/>
      <c r="H86" s="3240"/>
      <c r="I86" s="1776"/>
      <c r="J86" s="1776"/>
      <c r="K86" s="260">
        <f>3.7854*M86/8</f>
        <v>2.8390500000000003</v>
      </c>
      <c r="L86" s="261">
        <v>5</v>
      </c>
      <c r="M86" s="260">
        <f>L86*(6/5)</f>
        <v>6</v>
      </c>
      <c r="N86" s="59"/>
      <c r="O86" s="260">
        <f>3.7854*P86/8</f>
        <v>18.927</v>
      </c>
      <c r="P86" s="261">
        <v>40</v>
      </c>
      <c r="Q86" s="260">
        <f>P86*(5/6)</f>
        <v>33.333333333333336</v>
      </c>
      <c r="R86" s="1778"/>
      <c r="S86" s="1778"/>
      <c r="T86" s="1777"/>
      <c r="U86" s="1778"/>
      <c r="V86" s="1778"/>
      <c r="W86" s="1778"/>
      <c r="X86" s="1779"/>
      <c r="Y86" s="158"/>
      <c r="Z86" s="2709">
        <v>5</v>
      </c>
      <c r="AA86" s="2712">
        <v>1.4239999999999999</v>
      </c>
      <c r="AB86" s="168"/>
      <c r="AC86" s="168"/>
      <c r="AD86" s="168"/>
      <c r="AE86" s="168"/>
      <c r="AF86" s="168"/>
      <c r="AG86" s="168"/>
      <c r="AH86" s="53"/>
      <c r="AI86" s="56"/>
      <c r="AJ86" s="56"/>
      <c r="AK86" s="56"/>
      <c r="AL86" s="56"/>
      <c r="AM86" s="56"/>
      <c r="AN86" s="56"/>
      <c r="AO86" s="56"/>
      <c r="AP86" s="56"/>
      <c r="AQ86" s="56"/>
      <c r="AR86" s="56"/>
      <c r="AS86" s="1051"/>
      <c r="AT86" s="1051"/>
      <c r="AU86" s="1051"/>
      <c r="AV86" s="1051"/>
      <c r="AW86" s="1051"/>
      <c r="AX86" s="1051"/>
      <c r="AY86" s="1051"/>
      <c r="AZ86" s="1051"/>
      <c r="BA86" s="1051"/>
      <c r="BB86" s="1051"/>
      <c r="BC86" s="1051"/>
    </row>
    <row r="87" spans="1:55" s="1" customFormat="1" ht="16.5" customHeight="1">
      <c r="A87" s="37"/>
      <c r="B87" s="3246" t="str">
        <f>"Total ingredient wt = "&amp;1*FIXED((X77),0)&amp;"g, sugar wt  = "&amp;1*FIXED((AA23),0)&amp;"g  ="&amp;FIXED((100*AC26),0)&amp;"% by weight if using all malt."</f>
        <v>Total ingredient wt = 3604g, sugar wt  = 145g  =3% by weight if using all malt.</v>
      </c>
      <c r="C87" s="3247"/>
      <c r="D87" s="3247"/>
      <c r="E87" s="3247"/>
      <c r="F87" s="3247"/>
      <c r="G87" s="3247"/>
      <c r="H87" s="3248"/>
      <c r="I87" s="1776"/>
      <c r="J87" s="1776"/>
      <c r="K87" s="1776"/>
      <c r="L87" s="1776"/>
      <c r="M87" s="1776"/>
      <c r="N87" s="1776"/>
      <c r="O87" s="1776"/>
      <c r="P87" s="1776"/>
      <c r="Q87" s="1776"/>
      <c r="R87" s="1778"/>
      <c r="S87" s="1778"/>
      <c r="T87" s="1777"/>
      <c r="U87" s="1778"/>
      <c r="V87" s="1778"/>
      <c r="W87" s="1778"/>
      <c r="X87" s="1779"/>
      <c r="Y87" s="158"/>
      <c r="Z87" s="2709">
        <v>6</v>
      </c>
      <c r="AA87" s="2712">
        <v>1.377</v>
      </c>
      <c r="AB87" s="168"/>
      <c r="AC87" s="1079" t="s">
        <v>193</v>
      </c>
      <c r="AD87" s="1080">
        <f>D84/62</f>
        <v>1.2258064516129032</v>
      </c>
      <c r="AE87" s="1081" t="s">
        <v>7</v>
      </c>
      <c r="AF87" s="13"/>
      <c r="AG87" s="13"/>
      <c r="AH87" s="53"/>
      <c r="AI87" s="56"/>
      <c r="AJ87" s="56"/>
      <c r="AK87" s="56"/>
      <c r="AL87" s="56"/>
      <c r="AM87" s="56"/>
      <c r="AN87" s="56"/>
      <c r="AO87" s="56"/>
      <c r="AP87" s="56"/>
      <c r="AQ87" s="56"/>
      <c r="AR87" s="56"/>
      <c r="AS87" s="1051"/>
      <c r="AT87" s="1051"/>
      <c r="AU87" s="1051"/>
      <c r="AV87" s="1051"/>
      <c r="AW87" s="1051"/>
      <c r="AX87" s="1051"/>
      <c r="AY87" s="1051"/>
      <c r="AZ87" s="1051"/>
      <c r="BA87" s="1051"/>
      <c r="BB87" s="1051"/>
      <c r="BC87" s="1051"/>
    </row>
    <row r="88" spans="1:55" s="1" customFormat="1" ht="16.5" customHeight="1">
      <c r="A88" s="37"/>
      <c r="B88" s="1814"/>
      <c r="C88" s="1814"/>
      <c r="D88" s="1771"/>
      <c r="E88" s="1771"/>
      <c r="F88" s="1771"/>
      <c r="G88" s="1771"/>
      <c r="H88" s="67"/>
      <c r="I88" s="1779"/>
      <c r="J88" s="1779"/>
      <c r="K88" s="1779"/>
      <c r="L88" s="1779"/>
      <c r="M88" s="1779"/>
      <c r="N88" s="1779"/>
      <c r="O88" s="1779"/>
      <c r="P88" s="1779"/>
      <c r="Q88" s="1779"/>
      <c r="R88" s="1779"/>
      <c r="S88" s="1779"/>
      <c r="T88" s="1779"/>
      <c r="U88" s="1779"/>
      <c r="V88" s="1779"/>
      <c r="W88" s="1779"/>
      <c r="X88" s="1779"/>
      <c r="Y88" s="158"/>
      <c r="Z88" s="2709">
        <v>7</v>
      </c>
      <c r="AA88" s="2712">
        <v>1.331</v>
      </c>
      <c r="AB88" s="168"/>
      <c r="AC88" s="77" t="s">
        <v>185</v>
      </c>
      <c r="AD88" s="81">
        <f>(SUM(AE33:AE75)-AE70-AE67)/D23</f>
        <v>28.829145815217391</v>
      </c>
      <c r="AE88" s="14" t="s">
        <v>250</v>
      </c>
      <c r="AF88" s="14" t="s">
        <v>251</v>
      </c>
      <c r="AG88" s="14"/>
      <c r="AH88" s="53"/>
      <c r="AI88" s="56"/>
      <c r="AJ88" s="56"/>
      <c r="AK88" s="56"/>
      <c r="AL88" s="56"/>
      <c r="AM88" s="56"/>
      <c r="AN88" s="56"/>
      <c r="AO88" s="56"/>
      <c r="AP88" s="56"/>
      <c r="AQ88" s="56"/>
      <c r="AR88" s="56"/>
      <c r="AS88" s="1051"/>
      <c r="AT88" s="1051"/>
      <c r="AU88" s="1051"/>
      <c r="AV88" s="1051"/>
      <c r="AW88" s="1051"/>
      <c r="AX88" s="1051"/>
      <c r="AY88" s="1051"/>
      <c r="AZ88" s="1051"/>
      <c r="BA88" s="1051"/>
      <c r="BB88" s="1051"/>
      <c r="BC88" s="1051"/>
    </row>
    <row r="89" spans="1:55" s="1" customFormat="1" ht="16.5" customHeight="1">
      <c r="A89" s="1051"/>
      <c r="B89" s="3241" t="s">
        <v>1596</v>
      </c>
      <c r="C89" s="3241"/>
      <c r="D89" s="1051"/>
      <c r="E89" s="1051"/>
      <c r="F89" s="1051"/>
      <c r="G89" s="1051"/>
      <c r="H89" s="1781"/>
      <c r="I89" s="1781"/>
      <c r="J89" s="1781"/>
      <c r="K89" s="1781"/>
      <c r="L89" s="1781"/>
      <c r="M89" s="1781"/>
      <c r="N89" s="1781"/>
      <c r="O89" s="1780"/>
      <c r="P89" s="1780"/>
      <c r="Q89" s="1780"/>
      <c r="R89" s="1780"/>
      <c r="S89" s="1780"/>
      <c r="T89" s="1780"/>
      <c r="U89" s="1780"/>
      <c r="V89" s="1780"/>
      <c r="W89" s="1780"/>
      <c r="X89" s="1780"/>
      <c r="Y89" s="35"/>
      <c r="Z89" s="2709">
        <v>8</v>
      </c>
      <c r="AA89" s="2712">
        <v>1.282</v>
      </c>
      <c r="AB89" s="168"/>
      <c r="AC89" s="1019"/>
      <c r="AD89" s="1019"/>
      <c r="AE89" s="1019"/>
      <c r="AF89" s="1019"/>
      <c r="AG89" s="1019"/>
      <c r="AH89" s="53"/>
      <c r="AI89" s="56"/>
      <c r="AJ89" s="56"/>
      <c r="AK89" s="56"/>
      <c r="AL89" s="56"/>
      <c r="AM89" s="56"/>
      <c r="AN89" s="56"/>
      <c r="AO89" s="56"/>
      <c r="AP89" s="56"/>
      <c r="AQ89" s="56"/>
      <c r="AR89" s="56"/>
      <c r="AS89" s="1051"/>
      <c r="AT89" s="1051"/>
      <c r="AU89" s="1051"/>
      <c r="AV89" s="1051"/>
      <c r="AW89" s="1051"/>
      <c r="AX89" s="1051"/>
      <c r="AY89" s="1051"/>
      <c r="AZ89" s="1051"/>
      <c r="BA89" s="1051"/>
      <c r="BB89" s="1051"/>
      <c r="BC89" s="1051"/>
    </row>
    <row r="90" spans="1:55" s="1" customFormat="1" ht="16.5" customHeight="1">
      <c r="A90" s="1051"/>
      <c r="B90" s="1051"/>
      <c r="C90" s="1051"/>
      <c r="D90" s="1051"/>
      <c r="E90" s="1051"/>
      <c r="F90" s="1051"/>
      <c r="G90" s="1104"/>
      <c r="H90" s="2515"/>
      <c r="I90" s="2515"/>
      <c r="J90" s="39"/>
      <c r="K90" s="39"/>
      <c r="L90" s="39"/>
      <c r="M90" s="39"/>
      <c r="N90" s="39"/>
      <c r="O90" s="39"/>
      <c r="P90" s="39"/>
      <c r="Q90" s="39"/>
      <c r="R90" s="59"/>
      <c r="S90" s="43"/>
      <c r="T90" s="107"/>
      <c r="U90" s="1051"/>
      <c r="V90" s="1051"/>
      <c r="W90" s="1051"/>
      <c r="X90" s="35"/>
      <c r="Y90" s="35"/>
      <c r="Z90" s="2709">
        <v>9</v>
      </c>
      <c r="AA90" s="2712">
        <v>1.2370000000000001</v>
      </c>
      <c r="AB90" s="168"/>
      <c r="AC90" s="77" t="s">
        <v>186</v>
      </c>
      <c r="AD90" s="78">
        <f>(1.07993715174291*(AD70+AD71+X76*(0.375*D23))/D23)</f>
        <v>2.551351520992625</v>
      </c>
      <c r="AE90" s="1081" t="s">
        <v>8</v>
      </c>
      <c r="AF90" s="1019"/>
      <c r="AG90" s="1019"/>
      <c r="AH90" s="53"/>
      <c r="AI90" s="56"/>
      <c r="AJ90" s="56"/>
      <c r="AK90" s="56"/>
      <c r="AL90" s="56"/>
      <c r="AM90" s="56"/>
      <c r="AN90" s="56"/>
      <c r="AO90" s="56"/>
      <c r="AP90" s="56"/>
      <c r="AQ90" s="56"/>
      <c r="AR90" s="56"/>
      <c r="AS90" s="1051"/>
      <c r="AT90" s="1051"/>
      <c r="AU90" s="1051"/>
      <c r="AV90" s="1051"/>
      <c r="AW90" s="1051"/>
      <c r="AX90" s="1051"/>
      <c r="AY90" s="1051"/>
      <c r="AZ90" s="1051"/>
      <c r="BA90" s="1051"/>
      <c r="BB90" s="1051"/>
      <c r="BC90" s="1051"/>
    </row>
    <row r="91" spans="1:55" s="1" customFormat="1" ht="16.5" customHeight="1">
      <c r="A91" s="37"/>
      <c r="B91" s="1051"/>
      <c r="C91" s="1051"/>
      <c r="D91" s="1051"/>
      <c r="E91" s="1051"/>
      <c r="F91" s="1051"/>
      <c r="G91" s="590"/>
      <c r="H91" s="2478"/>
      <c r="I91" s="2478"/>
      <c r="J91" s="2478"/>
      <c r="K91" s="2478"/>
      <c r="L91" s="34"/>
      <c r="M91" s="40"/>
      <c r="N91" s="41"/>
      <c r="O91" s="1078"/>
      <c r="P91" s="1078"/>
      <c r="Q91" s="1078"/>
      <c r="R91" s="59"/>
      <c r="S91" s="43"/>
      <c r="T91" s="107"/>
      <c r="U91" s="1051"/>
      <c r="V91" s="1051"/>
      <c r="W91" s="1051"/>
      <c r="X91" s="35"/>
      <c r="Y91" s="35"/>
      <c r="Z91" s="2709">
        <v>10</v>
      </c>
      <c r="AA91" s="2712">
        <v>1.194</v>
      </c>
      <c r="AB91" s="168"/>
      <c r="AC91" s="77" t="s">
        <v>6</v>
      </c>
      <c r="AD91" s="1019">
        <f>(1.07993715174291*(AD70+AD71)/D23)</f>
        <v>0</v>
      </c>
      <c r="AE91" s="1081" t="s">
        <v>9</v>
      </c>
      <c r="AF91" s="1019"/>
      <c r="AG91" s="53"/>
      <c r="AH91" s="53"/>
      <c r="AI91" s="53"/>
      <c r="AJ91" s="53"/>
      <c r="AK91" s="60"/>
      <c r="AL91" s="60"/>
      <c r="AM91" s="60"/>
      <c r="AN91" s="60"/>
      <c r="AO91" s="60"/>
      <c r="AP91" s="60"/>
      <c r="AQ91" s="60"/>
      <c r="AR91" s="53"/>
      <c r="AS91" s="1051"/>
      <c r="AT91" s="1051"/>
      <c r="AU91" s="1051"/>
      <c r="AV91" s="1051"/>
      <c r="AW91" s="1051"/>
      <c r="AX91" s="1051"/>
      <c r="AY91" s="1051"/>
      <c r="AZ91" s="1051"/>
      <c r="BA91" s="1051"/>
      <c r="BB91" s="1051"/>
      <c r="BC91" s="1051"/>
    </row>
    <row r="92" spans="1:55" s="1" customFormat="1" ht="16.5" customHeight="1">
      <c r="A92" s="37"/>
      <c r="B92" s="1051"/>
      <c r="C92" s="1051"/>
      <c r="D92" s="1051"/>
      <c r="E92" s="1051"/>
      <c r="F92" s="1051"/>
      <c r="G92" s="591"/>
      <c r="H92" s="41"/>
      <c r="I92" s="41"/>
      <c r="J92" s="41"/>
      <c r="K92" s="41"/>
      <c r="L92" s="34"/>
      <c r="M92" s="40"/>
      <c r="N92" s="1078"/>
      <c r="O92" s="1078"/>
      <c r="P92" s="1078"/>
      <c r="Q92" s="1078"/>
      <c r="R92" s="59"/>
      <c r="S92" s="43"/>
      <c r="T92" s="107"/>
      <c r="U92" s="1051"/>
      <c r="V92" s="1051"/>
      <c r="W92" s="1051"/>
      <c r="X92" s="35"/>
      <c r="Y92" s="35"/>
      <c r="Z92" s="2709">
        <v>11</v>
      </c>
      <c r="AA92" s="2712">
        <v>1.1539999999999999</v>
      </c>
      <c r="AB92" s="168"/>
      <c r="AC92" s="168"/>
      <c r="AD92" s="345" t="s">
        <v>373</v>
      </c>
      <c r="AE92" s="345"/>
      <c r="AF92" s="345"/>
      <c r="AG92" s="53"/>
      <c r="AH92" s="53"/>
      <c r="AI92" s="53"/>
      <c r="AJ92" s="53"/>
      <c r="AK92" s="60"/>
      <c r="AL92" s="60"/>
      <c r="AM92" s="60"/>
      <c r="AN92" s="60"/>
      <c r="AO92" s="60"/>
      <c r="AP92" s="60"/>
      <c r="AQ92" s="60"/>
      <c r="AR92" s="53"/>
      <c r="AS92" s="1051"/>
      <c r="AT92" s="1051"/>
      <c r="AU92" s="1051"/>
      <c r="AV92" s="1051"/>
      <c r="AW92" s="1051"/>
      <c r="AX92" s="1051"/>
      <c r="AY92" s="1051"/>
      <c r="AZ92" s="1051"/>
      <c r="BA92" s="1051"/>
      <c r="BB92" s="1051"/>
      <c r="BC92" s="1051"/>
    </row>
    <row r="93" spans="1:55" s="1" customFormat="1" ht="16.5" customHeight="1">
      <c r="A93" s="37"/>
      <c r="B93" s="1051"/>
      <c r="C93" s="1051"/>
      <c r="D93" s="1051"/>
      <c r="E93" s="1051"/>
      <c r="F93" s="1051"/>
      <c r="G93" s="590"/>
      <c r="H93" s="2478"/>
      <c r="I93" s="41"/>
      <c r="J93" s="41"/>
      <c r="K93" s="41"/>
      <c r="L93" s="41"/>
      <c r="M93" s="42"/>
      <c r="N93" s="41"/>
      <c r="O93" s="41"/>
      <c r="P93" s="41"/>
      <c r="Q93" s="41"/>
      <c r="R93" s="59"/>
      <c r="S93" s="43"/>
      <c r="T93" s="35"/>
      <c r="U93" s="1051"/>
      <c r="V93" s="1051"/>
      <c r="W93" s="1051"/>
      <c r="X93" s="35"/>
      <c r="Y93" s="35"/>
      <c r="Z93" s="2709">
        <v>12</v>
      </c>
      <c r="AA93" s="2712">
        <v>1.117</v>
      </c>
      <c r="AB93" s="168"/>
      <c r="AC93" s="2523" t="s">
        <v>49</v>
      </c>
      <c r="AD93" s="341">
        <f>(AE76+(SUM(AD33:AD75)))/D23</f>
        <v>48.861122282608697</v>
      </c>
      <c r="AE93" s="14" t="s">
        <v>250</v>
      </c>
      <c r="AF93" s="15" t="s">
        <v>253</v>
      </c>
      <c r="AG93" s="53"/>
      <c r="AH93" s="53"/>
      <c r="AI93" s="53"/>
      <c r="AJ93" s="53"/>
      <c r="AK93" s="60"/>
      <c r="AL93" s="60"/>
      <c r="AM93" s="60"/>
      <c r="AN93" s="60"/>
      <c r="AO93" s="60"/>
      <c r="AP93" s="60"/>
      <c r="AQ93" s="60"/>
      <c r="AR93" s="53"/>
      <c r="AS93" s="1051"/>
      <c r="AT93" s="1051"/>
      <c r="AU93" s="1051"/>
      <c r="AV93" s="1051"/>
      <c r="AW93" s="1051"/>
      <c r="AX93" s="1051"/>
      <c r="AY93" s="1051"/>
      <c r="AZ93" s="1051"/>
      <c r="BA93" s="1051"/>
      <c r="BB93" s="1051"/>
      <c r="BC93" s="1051"/>
    </row>
    <row r="94" spans="1:55" s="1" customFormat="1" ht="16.5" customHeight="1">
      <c r="A94" s="37"/>
      <c r="B94" s="1051"/>
      <c r="C94" s="1051"/>
      <c r="D94" s="1051"/>
      <c r="E94" s="1051"/>
      <c r="F94" s="1051"/>
      <c r="G94" s="591"/>
      <c r="H94" s="41"/>
      <c r="I94" s="41"/>
      <c r="J94" s="43"/>
      <c r="K94" s="43"/>
      <c r="L94" s="34"/>
      <c r="M94" s="40"/>
      <c r="N94" s="41"/>
      <c r="O94" s="1078"/>
      <c r="P94" s="1078"/>
      <c r="Q94" s="1078"/>
      <c r="R94" s="59"/>
      <c r="S94" s="43"/>
      <c r="T94" s="35"/>
      <c r="U94" s="1051"/>
      <c r="V94" s="1051"/>
      <c r="W94" s="1051"/>
      <c r="X94" s="35"/>
      <c r="Y94" s="35"/>
      <c r="Z94" s="2709">
        <v>13</v>
      </c>
      <c r="AA94" s="2712">
        <v>1.083</v>
      </c>
      <c r="AB94" s="340"/>
      <c r="AC94" s="38" t="s">
        <v>47</v>
      </c>
      <c r="AD94" s="79">
        <f>(SUM(AD33:AD75))/D23</f>
        <v>46.498622282608693</v>
      </c>
      <c r="AE94" s="14" t="s">
        <v>250</v>
      </c>
      <c r="AF94" s="15" t="s">
        <v>251</v>
      </c>
      <c r="AG94" s="53"/>
      <c r="AH94" s="53"/>
      <c r="AI94" s="53"/>
      <c r="AJ94" s="53"/>
      <c r="AK94" s="60"/>
      <c r="AL94" s="60"/>
      <c r="AM94" s="60"/>
      <c r="AN94" s="60"/>
      <c r="AO94" s="60"/>
      <c r="AP94" s="60"/>
      <c r="AQ94" s="60"/>
      <c r="AR94" s="53"/>
      <c r="AS94" s="1051"/>
      <c r="AT94" s="1051"/>
      <c r="AU94" s="1051"/>
      <c r="AV94" s="1051"/>
      <c r="AW94" s="1051"/>
      <c r="AX94" s="1051"/>
      <c r="AY94" s="1051"/>
      <c r="AZ94" s="1051"/>
      <c r="BA94" s="1051"/>
      <c r="BB94" s="1051"/>
      <c r="BC94" s="1051"/>
    </row>
    <row r="95" spans="1:55" s="1" customFormat="1" ht="16.5" customHeight="1">
      <c r="A95" s="37"/>
      <c r="B95" s="1051"/>
      <c r="C95" s="1051"/>
      <c r="D95" s="1051"/>
      <c r="E95" s="1051"/>
      <c r="F95" s="1051"/>
      <c r="G95" s="590"/>
      <c r="H95" s="2478"/>
      <c r="I95" s="41"/>
      <c r="J95" s="41"/>
      <c r="K95" s="41"/>
      <c r="L95" s="34"/>
      <c r="M95" s="40"/>
      <c r="N95" s="1078"/>
      <c r="O95" s="1078"/>
      <c r="P95" s="1078"/>
      <c r="Q95" s="1078"/>
      <c r="R95" s="59"/>
      <c r="S95" s="43"/>
      <c r="T95" s="35"/>
      <c r="U95" s="1051"/>
      <c r="V95" s="1051"/>
      <c r="W95" s="1051"/>
      <c r="X95" s="35"/>
      <c r="Y95" s="35"/>
      <c r="Z95" s="2709">
        <f>(Z94+Z96)/2</f>
        <v>13.5</v>
      </c>
      <c r="AA95" s="2709">
        <f>(AA94+AA96)/2</f>
        <v>1.0665</v>
      </c>
      <c r="AB95" s="64" t="s">
        <v>48</v>
      </c>
      <c r="AC95" s="64"/>
      <c r="AD95" s="79">
        <f>(AD93-AD76/D23-AD87*AD88-AD91)</f>
        <v>11.159669347826089</v>
      </c>
      <c r="AE95" s="14" t="s">
        <v>252</v>
      </c>
      <c r="AF95" s="15" t="s">
        <v>251</v>
      </c>
      <c r="AG95" s="53"/>
      <c r="AH95" s="53"/>
      <c r="AI95" s="53"/>
      <c r="AJ95" s="53"/>
      <c r="AK95" s="60"/>
      <c r="AL95" s="60"/>
      <c r="AM95" s="60"/>
      <c r="AN95" s="60"/>
      <c r="AO95" s="60"/>
      <c r="AP95" s="60"/>
      <c r="AQ95" s="60"/>
      <c r="AR95" s="53"/>
      <c r="AS95" s="1051"/>
      <c r="AT95" s="1051"/>
      <c r="AU95" s="1051"/>
      <c r="AV95" s="1051"/>
      <c r="AW95" s="1051"/>
      <c r="AX95" s="1051"/>
      <c r="AY95" s="1051"/>
      <c r="AZ95" s="1051"/>
      <c r="BA95" s="1051"/>
      <c r="BB95" s="1051"/>
      <c r="BC95" s="1051"/>
    </row>
    <row r="96" spans="1:55" s="1" customFormat="1" ht="16.5" customHeight="1">
      <c r="A96" s="37"/>
      <c r="B96" s="1051"/>
      <c r="C96" s="1051"/>
      <c r="D96" s="1051"/>
      <c r="E96" s="1051"/>
      <c r="F96" s="1051"/>
      <c r="G96" s="591"/>
      <c r="H96" s="41"/>
      <c r="I96" s="41"/>
      <c r="J96" s="41"/>
      <c r="K96" s="41"/>
      <c r="L96" s="34"/>
      <c r="M96" s="40"/>
      <c r="N96" s="1078"/>
      <c r="O96" s="1078"/>
      <c r="P96" s="1078"/>
      <c r="Q96" s="1078"/>
      <c r="R96" s="59"/>
      <c r="S96" s="43"/>
      <c r="T96" s="35"/>
      <c r="U96" s="1051"/>
      <c r="V96" s="1051"/>
      <c r="W96" s="1051"/>
      <c r="X96" s="35"/>
      <c r="Y96" s="35"/>
      <c r="Z96" s="2709">
        <v>14</v>
      </c>
      <c r="AA96" s="2712">
        <v>1.05</v>
      </c>
      <c r="AB96" s="30" t="s">
        <v>50</v>
      </c>
      <c r="AC96" s="30"/>
      <c r="AD96" s="341">
        <f>(AD93-AD87*AD88-AD90)</f>
        <v>10.970817826833461</v>
      </c>
      <c r="AE96" s="14" t="s">
        <v>252</v>
      </c>
      <c r="AF96" s="15" t="s">
        <v>253</v>
      </c>
      <c r="AG96" s="53"/>
      <c r="AH96" s="53"/>
      <c r="AI96" s="53"/>
      <c r="AJ96" s="53"/>
      <c r="AK96" s="60"/>
      <c r="AL96" s="60"/>
      <c r="AM96" s="60"/>
      <c r="AN96" s="60"/>
      <c r="AO96" s="60"/>
      <c r="AP96" s="60"/>
      <c r="AQ96" s="60"/>
      <c r="AR96" s="53"/>
      <c r="AS96" s="1051"/>
      <c r="AT96" s="1051"/>
      <c r="AU96" s="1051"/>
      <c r="AV96" s="1051"/>
      <c r="AW96" s="1051"/>
      <c r="AX96" s="1051"/>
      <c r="AY96" s="1051"/>
      <c r="AZ96" s="1051"/>
      <c r="BA96" s="1051"/>
      <c r="BB96" s="1051"/>
      <c r="BC96" s="1051"/>
    </row>
    <row r="97" spans="1:55" s="1" customFormat="1" ht="16.5" customHeight="1">
      <c r="A97" s="37"/>
      <c r="B97" s="1051"/>
      <c r="C97" s="1051"/>
      <c r="D97" s="1051"/>
      <c r="E97" s="1051"/>
      <c r="F97" s="1051"/>
      <c r="G97" s="590"/>
      <c r="H97" s="2478"/>
      <c r="I97" s="41"/>
      <c r="J97" s="41"/>
      <c r="K97" s="41"/>
      <c r="L97" s="34"/>
      <c r="M97" s="40"/>
      <c r="N97" s="1078"/>
      <c r="O97" s="1078"/>
      <c r="P97" s="1078"/>
      <c r="Q97" s="1078"/>
      <c r="R97" s="59"/>
      <c r="S97" s="43"/>
      <c r="T97" s="35"/>
      <c r="U97" s="1051"/>
      <c r="V97" s="1051"/>
      <c r="W97" s="1051"/>
      <c r="X97" s="35"/>
      <c r="Y97" s="35"/>
      <c r="Z97" s="2709">
        <f>(Z96+Z98)/2</f>
        <v>14.5</v>
      </c>
      <c r="AA97" s="2709">
        <f>(AA96+AA98)/2</f>
        <v>1.034</v>
      </c>
      <c r="AB97" s="56"/>
      <c r="AC97" s="57"/>
      <c r="AD97" s="57"/>
      <c r="AE97" s="57"/>
      <c r="AF97" s="57"/>
      <c r="AG97" s="53"/>
      <c r="AH97" s="53"/>
      <c r="AI97" s="53"/>
      <c r="AJ97" s="53"/>
      <c r="AK97" s="60"/>
      <c r="AL97" s="60"/>
      <c r="AM97" s="60"/>
      <c r="AN97" s="60"/>
      <c r="AO97" s="60"/>
      <c r="AP97" s="60"/>
      <c r="AQ97" s="60"/>
      <c r="AR97" s="53"/>
      <c r="AS97" s="1051"/>
      <c r="AT97" s="1051"/>
      <c r="AU97" s="1051"/>
      <c r="AV97" s="1051"/>
      <c r="AW97" s="1051"/>
      <c r="AX97" s="1051"/>
      <c r="AY97" s="1051"/>
      <c r="AZ97" s="1051"/>
      <c r="BA97" s="1051"/>
      <c r="BB97" s="1051"/>
      <c r="BC97" s="1051"/>
    </row>
    <row r="98" spans="1:55" s="1" customFormat="1" ht="16.5" customHeight="1">
      <c r="A98" s="37"/>
      <c r="B98" s="1051"/>
      <c r="C98" s="1051"/>
      <c r="D98" s="1051"/>
      <c r="E98" s="1051"/>
      <c r="F98" s="1051"/>
      <c r="G98" s="591"/>
      <c r="H98" s="41"/>
      <c r="I98" s="41"/>
      <c r="J98" s="39"/>
      <c r="K98" s="2478"/>
      <c r="L98" s="41"/>
      <c r="M98" s="44"/>
      <c r="N98" s="41"/>
      <c r="O98" s="41"/>
      <c r="P98" s="41"/>
      <c r="Q98" s="41"/>
      <c r="R98" s="59"/>
      <c r="S98" s="43"/>
      <c r="T98" s="35"/>
      <c r="U98" s="1051"/>
      <c r="V98" s="1051"/>
      <c r="W98" s="1051"/>
      <c r="X98" s="35"/>
      <c r="Y98" s="35"/>
      <c r="Z98" s="2709">
        <v>15</v>
      </c>
      <c r="AA98" s="2712">
        <v>1.018</v>
      </c>
      <c r="AB98" s="56"/>
      <c r="AC98" s="57"/>
      <c r="AD98" s="57"/>
      <c r="AE98" s="57"/>
      <c r="AF98" s="57"/>
      <c r="AG98" s="56"/>
      <c r="AH98" s="53"/>
      <c r="AI98" s="53"/>
      <c r="AJ98" s="53"/>
      <c r="AK98" s="60"/>
      <c r="AL98" s="60"/>
      <c r="AM98" s="60"/>
      <c r="AN98" s="60"/>
      <c r="AO98" s="60"/>
      <c r="AP98" s="60"/>
      <c r="AQ98" s="60"/>
      <c r="AR98" s="53"/>
      <c r="AS98" s="1051"/>
      <c r="AT98" s="1051"/>
      <c r="AU98" s="1051"/>
      <c r="AV98" s="1051"/>
      <c r="AW98" s="1051"/>
      <c r="AX98" s="1051"/>
      <c r="AY98" s="1051"/>
      <c r="AZ98" s="1051"/>
      <c r="BA98" s="1051"/>
      <c r="BB98" s="1051"/>
      <c r="BC98" s="1051"/>
    </row>
    <row r="99" spans="1:55" s="1" customFormat="1" ht="16.5" customHeight="1">
      <c r="A99" s="37"/>
      <c r="B99" s="1762"/>
      <c r="C99" s="1051"/>
      <c r="D99" s="1051"/>
      <c r="E99" s="1051"/>
      <c r="F99" s="1051"/>
      <c r="G99" s="1051"/>
      <c r="H99" s="41"/>
      <c r="I99" s="41"/>
      <c r="J99" s="39"/>
      <c r="K99" s="39"/>
      <c r="L99" s="34"/>
      <c r="M99" s="40"/>
      <c r="N99" s="41"/>
      <c r="O99" s="45"/>
      <c r="P99" s="41"/>
      <c r="Q99" s="41"/>
      <c r="R99" s="59"/>
      <c r="S99" s="43"/>
      <c r="T99" s="35"/>
      <c r="U99" s="1051"/>
      <c r="V99" s="1051"/>
      <c r="W99" s="1051"/>
      <c r="X99" s="35"/>
      <c r="Y99" s="35"/>
      <c r="Z99" s="2709">
        <f>(Z98+Z100)/2</f>
        <v>15.5</v>
      </c>
      <c r="AA99" s="2709">
        <f>(AA98+AA100)/2</f>
        <v>1.0015000000000001</v>
      </c>
      <c r="AB99" s="56"/>
      <c r="AC99" s="57"/>
      <c r="AD99" s="57"/>
      <c r="AE99" s="57"/>
      <c r="AF99" s="57"/>
      <c r="AG99" s="56"/>
      <c r="AH99" s="53"/>
      <c r="AI99" s="53"/>
      <c r="AJ99" s="53"/>
      <c r="AK99" s="60"/>
      <c r="AL99" s="60"/>
      <c r="AM99" s="60"/>
      <c r="AN99" s="60"/>
      <c r="AO99" s="60"/>
      <c r="AP99" s="60"/>
      <c r="AQ99" s="60"/>
      <c r="AR99" s="53"/>
      <c r="AS99" s="1051"/>
      <c r="AT99" s="1051"/>
      <c r="AU99" s="1051"/>
      <c r="AV99" s="1051"/>
      <c r="AW99" s="1051"/>
      <c r="AX99" s="1051"/>
      <c r="AY99" s="1051"/>
      <c r="AZ99" s="1051"/>
      <c r="BA99" s="1051"/>
      <c r="BB99" s="1051"/>
      <c r="BC99" s="1051"/>
    </row>
    <row r="100" spans="1:55" s="1" customFormat="1" ht="16.5" customHeight="1">
      <c r="A100" s="37"/>
      <c r="B100" s="1762"/>
      <c r="C100" s="1051"/>
      <c r="D100" s="1051"/>
      <c r="E100" s="1051"/>
      <c r="F100" s="1051"/>
      <c r="G100" s="591"/>
      <c r="H100" s="41"/>
      <c r="I100" s="41"/>
      <c r="J100" s="39"/>
      <c r="K100" s="39"/>
      <c r="L100" s="34"/>
      <c r="M100" s="40"/>
      <c r="N100" s="41"/>
      <c r="O100" s="45"/>
      <c r="P100" s="41"/>
      <c r="Q100" s="41"/>
      <c r="R100" s="59"/>
      <c r="S100" s="43"/>
      <c r="T100" s="35"/>
      <c r="U100" s="1051"/>
      <c r="V100" s="1051"/>
      <c r="W100" s="1051"/>
      <c r="X100" s="35"/>
      <c r="Y100" s="35"/>
      <c r="Z100" s="2709">
        <v>16</v>
      </c>
      <c r="AA100" s="2712">
        <v>0.98499999999999999</v>
      </c>
      <c r="AB100" s="56"/>
      <c r="AC100" s="57"/>
      <c r="AD100" s="57"/>
      <c r="AE100" s="57"/>
      <c r="AF100" s="57"/>
      <c r="AG100" s="56"/>
      <c r="AH100" s="53"/>
      <c r="AI100" s="53"/>
      <c r="AJ100" s="53"/>
      <c r="AK100" s="60"/>
      <c r="AL100" s="60"/>
      <c r="AM100" s="60"/>
      <c r="AN100" s="60"/>
      <c r="AO100" s="60"/>
      <c r="AP100" s="60"/>
      <c r="AQ100" s="60"/>
      <c r="AR100" s="53"/>
      <c r="AS100" s="1051"/>
      <c r="AT100" s="1051"/>
      <c r="AU100" s="1051"/>
      <c r="AV100" s="1051"/>
      <c r="AW100" s="1051"/>
      <c r="AX100" s="1051"/>
      <c r="AY100" s="1051"/>
      <c r="AZ100" s="1051"/>
      <c r="BA100" s="1051"/>
      <c r="BB100" s="1051"/>
      <c r="BC100" s="1051"/>
    </row>
    <row r="101" spans="1:55" s="1" customFormat="1" ht="16.5" customHeight="1">
      <c r="A101" s="37"/>
      <c r="B101" s="1762"/>
      <c r="C101" s="1051"/>
      <c r="D101" s="1051"/>
      <c r="E101" s="1051"/>
      <c r="F101" s="1051"/>
      <c r="G101" s="591"/>
      <c r="H101" s="41"/>
      <c r="I101" s="41"/>
      <c r="J101" s="39"/>
      <c r="K101" s="39"/>
      <c r="L101" s="34"/>
      <c r="M101" s="40"/>
      <c r="N101" s="41"/>
      <c r="O101" s="45"/>
      <c r="P101" s="41"/>
      <c r="Q101" s="41"/>
      <c r="R101" s="59"/>
      <c r="S101" s="43"/>
      <c r="T101" s="35"/>
      <c r="U101" s="1051"/>
      <c r="V101" s="1051"/>
      <c r="W101" s="1051"/>
      <c r="X101" s="35"/>
      <c r="Y101" s="35"/>
      <c r="Z101" s="2709">
        <f>(Z100+Z102)/2</f>
        <v>16.5</v>
      </c>
      <c r="AA101" s="2709">
        <f>(AA100+AA102)/2</f>
        <v>0.97049999999999992</v>
      </c>
      <c r="AB101" s="56"/>
      <c r="AC101" s="57"/>
      <c r="AD101" s="57"/>
      <c r="AE101" s="57"/>
      <c r="AF101" s="57"/>
      <c r="AG101" s="56"/>
      <c r="AH101" s="53"/>
      <c r="AI101" s="53"/>
      <c r="AJ101" s="53"/>
      <c r="AK101" s="60"/>
      <c r="AL101" s="60"/>
      <c r="AM101" s="60"/>
      <c r="AN101" s="60"/>
      <c r="AO101" s="60"/>
      <c r="AP101" s="60"/>
      <c r="AQ101" s="60"/>
      <c r="AR101" s="53"/>
      <c r="AS101" s="1051"/>
      <c r="AT101" s="1051"/>
      <c r="AU101" s="1051"/>
      <c r="AV101" s="1051"/>
      <c r="AW101" s="1051"/>
      <c r="AX101" s="1051"/>
      <c r="AY101" s="1051"/>
      <c r="AZ101" s="1051"/>
      <c r="BA101" s="1051"/>
      <c r="BB101" s="1051"/>
      <c r="BC101" s="1051"/>
    </row>
    <row r="102" spans="1:55" s="1" customFormat="1" ht="16.5" customHeight="1">
      <c r="A102" s="37"/>
      <c r="B102" s="1051"/>
      <c r="C102" s="1051"/>
      <c r="D102" s="1051"/>
      <c r="E102" s="1051"/>
      <c r="F102" s="1051"/>
      <c r="G102" s="1051"/>
      <c r="H102" s="37"/>
      <c r="I102" s="37"/>
      <c r="J102" s="37"/>
      <c r="K102" s="37"/>
      <c r="L102" s="37"/>
      <c r="M102" s="37"/>
      <c r="N102" s="37"/>
      <c r="O102" s="37"/>
      <c r="P102" s="37"/>
      <c r="Q102" s="37"/>
      <c r="R102" s="37"/>
      <c r="S102" s="37"/>
      <c r="T102" s="37"/>
      <c r="U102" s="1051"/>
      <c r="V102" s="1051"/>
      <c r="W102" s="1051"/>
      <c r="X102" s="35"/>
      <c r="Y102" s="35"/>
      <c r="Z102" s="2709">
        <v>17</v>
      </c>
      <c r="AA102" s="2712">
        <v>0.95599999999999996</v>
      </c>
      <c r="AB102" s="56"/>
      <c r="AC102" s="57"/>
      <c r="AD102" s="57"/>
      <c r="AE102" s="57"/>
      <c r="AF102" s="57"/>
      <c r="AG102" s="56"/>
      <c r="AH102" s="53"/>
      <c r="AI102" s="53"/>
      <c r="AJ102" s="53"/>
      <c r="AK102" s="56"/>
      <c r="AL102" s="56"/>
      <c r="AM102" s="56"/>
      <c r="AN102" s="56"/>
      <c r="AO102" s="56"/>
      <c r="AP102" s="56"/>
      <c r="AQ102" s="56"/>
      <c r="AR102" s="53"/>
      <c r="AS102" s="1051"/>
      <c r="AT102" s="1051"/>
      <c r="AU102" s="1051"/>
      <c r="AV102" s="1051"/>
      <c r="AW102" s="1051"/>
      <c r="AX102" s="1051"/>
      <c r="AY102" s="1051"/>
      <c r="AZ102" s="1051"/>
      <c r="BA102" s="1051"/>
      <c r="BB102" s="1051"/>
      <c r="BC102" s="1051"/>
    </row>
    <row r="103" spans="1:55" s="1" customFormat="1" ht="16.5" customHeight="1">
      <c r="A103" s="37"/>
      <c r="B103" s="1051"/>
      <c r="C103" s="1051"/>
      <c r="D103" s="1051"/>
      <c r="E103" s="1815"/>
      <c r="F103" s="591"/>
      <c r="G103" s="591"/>
      <c r="H103" s="37"/>
      <c r="I103" s="37"/>
      <c r="J103" s="37"/>
      <c r="K103" s="37"/>
      <c r="L103" s="37"/>
      <c r="M103" s="37"/>
      <c r="N103" s="37"/>
      <c r="O103" s="37"/>
      <c r="P103" s="37"/>
      <c r="Q103" s="37"/>
      <c r="R103" s="37"/>
      <c r="S103" s="37"/>
      <c r="T103" s="37"/>
      <c r="U103" s="1051"/>
      <c r="V103" s="1051"/>
      <c r="W103" s="1051"/>
      <c r="X103" s="37"/>
      <c r="Y103" s="37"/>
      <c r="Z103" s="2709">
        <f>(Z102+Z104)/2</f>
        <v>17.5</v>
      </c>
      <c r="AA103" s="2709">
        <f>(AA102+AA104)/2</f>
        <v>0.94199999999999995</v>
      </c>
      <c r="AB103" s="56"/>
      <c r="AC103" s="57"/>
      <c r="AD103" s="57"/>
      <c r="AE103" s="57"/>
      <c r="AF103" s="57"/>
      <c r="AG103" s="56"/>
      <c r="AH103" s="53"/>
      <c r="AI103" s="53"/>
      <c r="AJ103" s="53"/>
      <c r="AK103" s="56"/>
      <c r="AL103" s="56"/>
      <c r="AM103" s="56"/>
      <c r="AN103" s="56"/>
      <c r="AO103" s="56"/>
      <c r="AP103" s="56"/>
      <c r="AQ103" s="56"/>
      <c r="AR103" s="53"/>
      <c r="AS103" s="1051"/>
      <c r="AT103" s="1051"/>
      <c r="AU103" s="1051"/>
      <c r="AV103" s="1051"/>
      <c r="AW103" s="1051"/>
      <c r="AX103" s="1051"/>
      <c r="AY103" s="1051"/>
      <c r="AZ103" s="1051"/>
      <c r="BA103" s="1051"/>
      <c r="BB103" s="1051"/>
      <c r="BC103" s="1051"/>
    </row>
    <row r="104" spans="1:55" s="1" customFormat="1" ht="16.5" customHeight="1">
      <c r="A104" s="37"/>
      <c r="B104" s="37"/>
      <c r="C104" s="54"/>
      <c r="D104" s="54"/>
      <c r="E104" s="54"/>
      <c r="F104" s="54"/>
      <c r="G104" s="54"/>
      <c r="H104" s="54"/>
      <c r="I104" s="3242" t="s">
        <v>362</v>
      </c>
      <c r="J104" s="3242"/>
      <c r="K104" s="3242"/>
      <c r="L104" s="3242"/>
      <c r="M104" s="55"/>
      <c r="N104" s="3243"/>
      <c r="O104" s="3243"/>
      <c r="P104" s="3243"/>
      <c r="Q104" s="3243"/>
      <c r="R104" s="3236" t="s">
        <v>257</v>
      </c>
      <c r="S104" s="3236"/>
      <c r="T104" s="3236"/>
      <c r="U104" s="3236"/>
      <c r="V104" s="3236"/>
      <c r="W104" s="2502"/>
      <c r="X104" s="37"/>
      <c r="Y104" s="37"/>
      <c r="Z104" s="2709">
        <v>18</v>
      </c>
      <c r="AA104" s="2712">
        <v>0.92800000000000005</v>
      </c>
      <c r="AB104" s="56"/>
      <c r="AC104" s="57"/>
      <c r="AD104" s="57"/>
      <c r="AE104" s="57"/>
      <c r="AF104" s="57"/>
      <c r="AG104" s="56"/>
      <c r="AH104" s="53"/>
      <c r="AI104" s="53"/>
      <c r="AJ104" s="53"/>
      <c r="AK104" s="56"/>
      <c r="AL104" s="56"/>
      <c r="AM104" s="56"/>
      <c r="AN104" s="56"/>
      <c r="AO104" s="56"/>
      <c r="AP104" s="56"/>
      <c r="AQ104" s="56"/>
      <c r="AR104" s="53"/>
      <c r="AS104" s="1051"/>
      <c r="AT104" s="1051"/>
      <c r="AU104" s="1051"/>
      <c r="AV104" s="1051"/>
      <c r="AW104" s="1051"/>
      <c r="AX104" s="1051"/>
      <c r="AY104" s="1051"/>
      <c r="AZ104" s="1051"/>
      <c r="BA104" s="1051"/>
      <c r="BB104" s="1051"/>
      <c r="BC104" s="1051"/>
    </row>
    <row r="105" spans="1:55" s="1" customFormat="1" ht="16.5" customHeight="1">
      <c r="A105" s="37"/>
      <c r="B105" s="37"/>
      <c r="C105" s="54"/>
      <c r="D105" s="54"/>
      <c r="E105" s="54"/>
      <c r="F105" s="54"/>
      <c r="G105" s="54"/>
      <c r="H105" s="54"/>
      <c r="I105" s="3242"/>
      <c r="J105" s="3242"/>
      <c r="K105" s="3242"/>
      <c r="L105" s="3242"/>
      <c r="M105" s="55"/>
      <c r="N105" s="3237" t="s">
        <v>3</v>
      </c>
      <c r="O105" s="3237"/>
      <c r="P105" s="3237"/>
      <c r="Q105" s="3237"/>
      <c r="R105" s="3249" t="s">
        <v>155</v>
      </c>
      <c r="S105" s="3249"/>
      <c r="T105" s="3249"/>
      <c r="U105" s="3249"/>
      <c r="V105" s="3249"/>
      <c r="W105" s="2503"/>
      <c r="X105" s="54"/>
      <c r="Y105" s="37"/>
      <c r="Z105" s="2709">
        <f>(Z104+Z106)/2</f>
        <v>18.5</v>
      </c>
      <c r="AA105" s="2709">
        <f>(AA104+AA106)/2</f>
        <v>0.91500000000000004</v>
      </c>
      <c r="AB105" s="56"/>
      <c r="AC105" s="57"/>
      <c r="AD105" s="57"/>
      <c r="AE105" s="57"/>
      <c r="AF105" s="57"/>
      <c r="AG105" s="56"/>
      <c r="AH105" s="53"/>
      <c r="AI105" s="53"/>
      <c r="AJ105" s="53"/>
      <c r="AK105" s="56"/>
      <c r="AL105" s="56"/>
      <c r="AM105" s="56"/>
      <c r="AN105" s="56"/>
      <c r="AO105" s="56"/>
      <c r="AP105" s="56"/>
      <c r="AQ105" s="56"/>
      <c r="AR105" s="53"/>
      <c r="AS105" s="1051"/>
      <c r="AT105" s="1051"/>
      <c r="AU105" s="1051"/>
      <c r="AV105" s="1051"/>
      <c r="AW105" s="1051"/>
      <c r="AX105" s="1051"/>
      <c r="AY105" s="1051"/>
      <c r="AZ105" s="1051"/>
      <c r="BA105" s="1051"/>
      <c r="BB105" s="1051"/>
      <c r="BC105" s="1051"/>
    </row>
    <row r="106" spans="1:55" s="1" customFormat="1" ht="16.5" customHeight="1">
      <c r="A106" s="37"/>
      <c r="B106" s="37"/>
      <c r="C106" s="54"/>
      <c r="D106" s="54"/>
      <c r="E106" s="54"/>
      <c r="F106" s="54"/>
      <c r="G106" s="54"/>
      <c r="H106" s="54"/>
      <c r="I106" s="3242"/>
      <c r="J106" s="3242"/>
      <c r="K106" s="3242"/>
      <c r="L106" s="3242"/>
      <c r="M106" s="55"/>
      <c r="N106" s="3250" t="s">
        <v>189</v>
      </c>
      <c r="O106" s="3250"/>
      <c r="P106" s="3250"/>
      <c r="Q106" s="3250"/>
      <c r="R106" s="3251" t="s">
        <v>190</v>
      </c>
      <c r="S106" s="3251"/>
      <c r="T106" s="3251"/>
      <c r="U106" s="3251"/>
      <c r="V106" s="3251"/>
      <c r="W106" s="2504"/>
      <c r="X106" s="2515"/>
      <c r="Y106" s="37"/>
      <c r="Z106" s="2709">
        <v>19</v>
      </c>
      <c r="AA106" s="2712">
        <v>0.90200000000000002</v>
      </c>
      <c r="AB106" s="56"/>
      <c r="AC106" s="57"/>
      <c r="AD106" s="57"/>
      <c r="AE106" s="57"/>
      <c r="AF106" s="57"/>
      <c r="AG106" s="56"/>
      <c r="AH106" s="53"/>
      <c r="AI106" s="53"/>
      <c r="AJ106" s="53"/>
      <c r="AK106" s="56"/>
      <c r="AL106" s="56"/>
      <c r="AM106" s="56"/>
      <c r="AN106" s="56"/>
      <c r="AO106" s="56"/>
      <c r="AP106" s="56"/>
      <c r="AQ106" s="56"/>
      <c r="AR106" s="53"/>
      <c r="AS106" s="1051"/>
      <c r="AT106" s="1051"/>
      <c r="AU106" s="1051"/>
      <c r="AV106" s="1051"/>
      <c r="AW106" s="1051"/>
      <c r="AX106" s="1051"/>
      <c r="AY106" s="1051"/>
      <c r="AZ106" s="1051"/>
      <c r="BA106" s="1051"/>
      <c r="BB106" s="1051"/>
      <c r="BC106" s="1051"/>
    </row>
    <row r="107" spans="1:55" s="1" customFormat="1" ht="16.5" customHeight="1">
      <c r="A107" s="37"/>
      <c r="B107" s="3197" t="s">
        <v>187</v>
      </c>
      <c r="C107" s="3197"/>
      <c r="D107" s="3197"/>
      <c r="E107" s="3197"/>
      <c r="F107" s="3197"/>
      <c r="G107" s="3197"/>
      <c r="H107" s="3197"/>
      <c r="I107" s="3197"/>
      <c r="J107" s="54"/>
      <c r="K107" s="55"/>
      <c r="L107" s="55"/>
      <c r="M107" s="55"/>
      <c r="N107" s="3198" t="s">
        <v>156</v>
      </c>
      <c r="O107" s="3198"/>
      <c r="P107" s="3198"/>
      <c r="Q107" s="3198"/>
      <c r="R107" s="3199" t="s">
        <v>157</v>
      </c>
      <c r="S107" s="3199"/>
      <c r="T107" s="3199"/>
      <c r="U107" s="3199"/>
      <c r="V107" s="3199"/>
      <c r="W107" s="2457"/>
      <c r="X107" s="54"/>
      <c r="Y107" s="37"/>
      <c r="Z107" s="2709">
        <f>(Z106+Z108)/2</f>
        <v>19.5</v>
      </c>
      <c r="AA107" s="2709">
        <f>(AA106+AA108)/2</f>
        <v>0.88949999999999996</v>
      </c>
      <c r="AB107" s="56"/>
      <c r="AC107" s="60"/>
      <c r="AD107" s="57"/>
      <c r="AE107" s="57"/>
      <c r="AF107" s="57"/>
      <c r="AG107" s="56"/>
      <c r="AH107" s="53"/>
      <c r="AI107" s="53"/>
      <c r="AJ107" s="53"/>
      <c r="AK107" s="56"/>
      <c r="AL107" s="56"/>
      <c r="AM107" s="56"/>
      <c r="AN107" s="56"/>
      <c r="AO107" s="56"/>
      <c r="AP107" s="56"/>
      <c r="AQ107" s="56"/>
      <c r="AR107" s="53"/>
      <c r="AS107" s="1051"/>
      <c r="AT107" s="1051"/>
      <c r="AU107" s="1051"/>
      <c r="AV107" s="1051"/>
      <c r="AW107" s="1051"/>
      <c r="AX107" s="1051"/>
      <c r="AY107" s="1051"/>
      <c r="AZ107" s="1051"/>
      <c r="BA107" s="1051"/>
      <c r="BB107" s="1051"/>
      <c r="BC107" s="1051"/>
    </row>
    <row r="108" spans="1:55" s="1" customFormat="1" ht="13.9"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54"/>
      <c r="Y108" s="37"/>
      <c r="Z108" s="2709">
        <v>20</v>
      </c>
      <c r="AA108" s="2712">
        <v>0.877</v>
      </c>
      <c r="AB108" s="56"/>
      <c r="AC108" s="57"/>
      <c r="AD108" s="57"/>
      <c r="AE108" s="57"/>
      <c r="AF108" s="57"/>
      <c r="AG108" s="56"/>
      <c r="AH108" s="53"/>
      <c r="AI108" s="53"/>
      <c r="AJ108" s="53"/>
      <c r="AK108" s="56"/>
      <c r="AL108" s="56"/>
      <c r="AM108" s="56"/>
      <c r="AN108" s="56"/>
      <c r="AO108" s="56"/>
      <c r="AP108" s="56"/>
      <c r="AQ108" s="56"/>
      <c r="AR108" s="53"/>
      <c r="AS108" s="1051"/>
      <c r="AT108" s="1051"/>
      <c r="AU108" s="1051"/>
      <c r="AV108" s="1051"/>
      <c r="AW108" s="1051"/>
      <c r="AX108" s="1051"/>
      <c r="AY108" s="1051"/>
      <c r="AZ108" s="1051"/>
      <c r="BA108" s="1051"/>
      <c r="BB108" s="1051"/>
      <c r="BC108" s="1051"/>
    </row>
    <row r="109" spans="1:55" s="1" customFormat="1" ht="13.9" customHeight="1">
      <c r="A109" s="37"/>
      <c r="B109" s="3228" t="s">
        <v>5</v>
      </c>
      <c r="C109" s="3228"/>
      <c r="D109" s="3228"/>
      <c r="E109" s="3228"/>
      <c r="F109" s="3228"/>
      <c r="G109" s="3228"/>
      <c r="H109" s="2456"/>
      <c r="I109" s="2456"/>
      <c r="J109" s="2456"/>
      <c r="K109" s="2456"/>
      <c r="L109" s="3229" t="s">
        <v>371</v>
      </c>
      <c r="M109" s="3229"/>
      <c r="N109" s="3229"/>
      <c r="O109" s="3229"/>
      <c r="P109" s="3229"/>
      <c r="Q109" s="3229"/>
      <c r="R109" s="3229"/>
      <c r="S109" s="3229"/>
      <c r="T109" s="3229"/>
      <c r="U109" s="3229"/>
      <c r="V109" s="37"/>
      <c r="W109" s="37"/>
      <c r="X109" s="54"/>
      <c r="Y109" s="37"/>
      <c r="Z109" s="2709">
        <f>(Z108+Z110)/2</f>
        <v>20.5</v>
      </c>
      <c r="AA109" s="2709">
        <f>(AA108+AA110)/2</f>
        <v>0.86450000000000005</v>
      </c>
      <c r="AB109" s="56"/>
      <c r="AC109" s="57"/>
      <c r="AD109" s="57"/>
      <c r="AE109" s="57"/>
      <c r="AF109" s="57"/>
      <c r="AG109" s="56"/>
      <c r="AH109" s="53"/>
      <c r="AI109" s="53"/>
      <c r="AJ109" s="53"/>
      <c r="AK109" s="56"/>
      <c r="AL109" s="56"/>
      <c r="AM109" s="56"/>
      <c r="AN109" s="56"/>
      <c r="AO109" s="56"/>
      <c r="AP109" s="56"/>
      <c r="AQ109" s="56"/>
      <c r="AR109" s="53"/>
      <c r="AS109" s="1019"/>
      <c r="AT109" s="1019"/>
      <c r="AU109" s="1019"/>
      <c r="AV109" s="1019"/>
      <c r="AW109" s="1019"/>
      <c r="AX109" s="1019"/>
      <c r="AY109" s="1019"/>
      <c r="AZ109" s="1019"/>
      <c r="BA109" s="1019"/>
      <c r="BB109" s="1019"/>
    </row>
    <row r="110" spans="1:55" s="1" customFormat="1" ht="13.9" customHeight="1">
      <c r="A110" s="37"/>
      <c r="B110" s="3230" t="s">
        <v>303</v>
      </c>
      <c r="C110" s="3231"/>
      <c r="D110" s="3231"/>
      <c r="E110" s="2452"/>
      <c r="F110" s="37"/>
      <c r="G110" s="37"/>
      <c r="H110" s="37"/>
      <c r="I110" s="37"/>
      <c r="J110" s="37"/>
      <c r="K110" s="58"/>
      <c r="L110" s="3229"/>
      <c r="M110" s="3229"/>
      <c r="N110" s="3229"/>
      <c r="O110" s="3229"/>
      <c r="P110" s="3229"/>
      <c r="Q110" s="3229"/>
      <c r="R110" s="3229"/>
      <c r="S110" s="3229"/>
      <c r="T110" s="3229"/>
      <c r="U110" s="3229"/>
      <c r="V110" s="35"/>
      <c r="W110" s="35"/>
      <c r="X110" s="35"/>
      <c r="Y110" s="35"/>
      <c r="Z110" s="2709">
        <v>21</v>
      </c>
      <c r="AA110" s="2712">
        <v>0.85199999999999998</v>
      </c>
      <c r="AB110" s="56"/>
      <c r="AC110" s="57"/>
      <c r="AD110" s="57"/>
      <c r="AE110" s="57"/>
      <c r="AF110" s="57"/>
      <c r="AG110" s="56"/>
      <c r="AH110" s="53"/>
      <c r="AI110" s="53"/>
      <c r="AJ110" s="53"/>
      <c r="AK110" s="56"/>
      <c r="AL110" s="56"/>
      <c r="AM110" s="56"/>
      <c r="AN110" s="56"/>
      <c r="AO110" s="56"/>
      <c r="AP110" s="56"/>
      <c r="AQ110" s="56"/>
      <c r="AR110" s="53"/>
      <c r="AS110" s="1019"/>
      <c r="AT110" s="1019"/>
      <c r="AU110" s="1019"/>
      <c r="AV110" s="1019"/>
      <c r="AW110" s="1019"/>
      <c r="AX110" s="1019"/>
      <c r="AY110" s="1019"/>
      <c r="AZ110" s="1019"/>
      <c r="BA110" s="1019"/>
      <c r="BB110" s="1019"/>
      <c r="BC110" s="1019"/>
    </row>
    <row r="111" spans="1:55" s="1" customFormat="1" ht="13.9" customHeight="1">
      <c r="A111" s="37"/>
      <c r="B111" s="37"/>
      <c r="C111" s="37"/>
      <c r="D111" s="37"/>
      <c r="E111" s="37"/>
      <c r="F111" s="2457"/>
      <c r="G111" s="2455"/>
      <c r="H111" s="2455"/>
      <c r="I111" s="2455"/>
      <c r="J111" s="37"/>
      <c r="K111" s="58"/>
      <c r="L111" s="3229"/>
      <c r="M111" s="3229"/>
      <c r="N111" s="3229"/>
      <c r="O111" s="3229"/>
      <c r="P111" s="3229"/>
      <c r="Q111" s="3229"/>
      <c r="R111" s="3229"/>
      <c r="S111" s="3229"/>
      <c r="T111" s="3229"/>
      <c r="U111" s="3229"/>
      <c r="V111" s="1234"/>
      <c r="W111" s="1234"/>
      <c r="X111" s="35"/>
      <c r="Y111" s="35"/>
      <c r="Z111" s="2709">
        <f>(Z110+Z112)/2</f>
        <v>21.5</v>
      </c>
      <c r="AA111" s="2709">
        <f>(AA110+AA112)/2</f>
        <v>0.83949999999999991</v>
      </c>
      <c r="AB111" s="56"/>
      <c r="AC111" s="57"/>
      <c r="AD111" s="57"/>
      <c r="AE111" s="57"/>
      <c r="AF111" s="57"/>
      <c r="AG111" s="56"/>
      <c r="AH111" s="53"/>
      <c r="AI111" s="53"/>
      <c r="AJ111" s="53"/>
      <c r="AK111" s="56"/>
      <c r="AL111" s="56"/>
      <c r="AM111" s="56"/>
      <c r="AN111" s="56"/>
      <c r="AO111" s="56"/>
      <c r="AP111" s="56"/>
      <c r="AQ111" s="56"/>
      <c r="AR111" s="53"/>
      <c r="AS111" s="1019"/>
      <c r="AT111" s="1019"/>
      <c r="AU111" s="1019"/>
      <c r="AV111" s="1019"/>
      <c r="AW111" s="1019"/>
      <c r="AX111" s="1019"/>
      <c r="AY111" s="1019"/>
      <c r="AZ111" s="1019"/>
      <c r="BA111" s="1019"/>
      <c r="BB111" s="1019"/>
      <c r="BC111" s="1019"/>
    </row>
    <row r="112" spans="1:55" s="1" customFormat="1" ht="13.9" customHeight="1">
      <c r="A112" s="37"/>
      <c r="B112" s="157"/>
      <c r="C112" s="157" t="s">
        <v>258</v>
      </c>
      <c r="D112" s="157"/>
      <c r="E112" s="157"/>
      <c r="F112" s="35"/>
      <c r="G112" s="35"/>
      <c r="H112" s="35"/>
      <c r="I112" s="35"/>
      <c r="J112" s="35"/>
      <c r="K112" s="58"/>
      <c r="L112" s="3229"/>
      <c r="M112" s="3229"/>
      <c r="N112" s="3229"/>
      <c r="O112" s="3229"/>
      <c r="P112" s="3229"/>
      <c r="Q112" s="3229"/>
      <c r="R112" s="3229"/>
      <c r="S112" s="3229"/>
      <c r="T112" s="3229"/>
      <c r="U112" s="3229"/>
      <c r="V112" s="1234"/>
      <c r="W112" s="1234"/>
      <c r="X112" s="1082"/>
      <c r="Y112" s="1082"/>
      <c r="Z112" s="2709">
        <v>22</v>
      </c>
      <c r="AA112" s="2712">
        <v>0.82699999999999996</v>
      </c>
      <c r="AB112" s="56"/>
      <c r="AC112" s="57"/>
      <c r="AD112" s="57"/>
      <c r="AE112" s="57"/>
      <c r="AF112" s="57"/>
      <c r="AG112" s="56"/>
      <c r="AH112" s="53"/>
      <c r="AI112" s="53"/>
      <c r="AJ112" s="53"/>
      <c r="AK112" s="56"/>
      <c r="AL112" s="56"/>
      <c r="AM112" s="56"/>
      <c r="AN112" s="56"/>
      <c r="AO112" s="56"/>
      <c r="AP112" s="56"/>
      <c r="AQ112" s="56"/>
      <c r="AR112" s="53"/>
      <c r="AS112" s="1019"/>
      <c r="AT112" s="1019"/>
      <c r="AU112" s="1019"/>
      <c r="AV112" s="1019"/>
      <c r="AW112" s="1019"/>
      <c r="AX112" s="1019"/>
      <c r="AY112" s="1019"/>
      <c r="AZ112" s="1019"/>
      <c r="BA112" s="1019"/>
      <c r="BB112" s="1019"/>
      <c r="BC112" s="1019"/>
    </row>
    <row r="113" spans="1:55" s="1" customFormat="1" ht="13.9" customHeight="1">
      <c r="A113" s="37"/>
      <c r="B113" s="158" t="s">
        <v>200</v>
      </c>
      <c r="C113" s="158"/>
      <c r="D113" s="2130" t="s">
        <v>203</v>
      </c>
      <c r="E113" s="2130"/>
      <c r="F113" s="2130" t="s">
        <v>204</v>
      </c>
      <c r="G113" s="2130"/>
      <c r="H113" s="2130"/>
      <c r="I113" s="2130" t="s">
        <v>205</v>
      </c>
      <c r="J113" s="2131" t="s">
        <v>206</v>
      </c>
      <c r="K113" s="58"/>
      <c r="L113" s="3229"/>
      <c r="M113" s="3229"/>
      <c r="N113" s="3229"/>
      <c r="O113" s="3229"/>
      <c r="P113" s="3229"/>
      <c r="Q113" s="3229"/>
      <c r="R113" s="3229"/>
      <c r="S113" s="3229"/>
      <c r="T113" s="3229"/>
      <c r="U113" s="3229"/>
      <c r="V113" s="1234"/>
      <c r="W113" s="1234"/>
      <c r="X113" s="1082"/>
      <c r="Y113" s="1082"/>
      <c r="Z113" s="2709">
        <f>(Z112+Z114)/2</f>
        <v>22.5</v>
      </c>
      <c r="AA113" s="2709">
        <f>(AA112+AA114)/2</f>
        <v>0.8145</v>
      </c>
      <c r="AB113" s="1019"/>
      <c r="AC113" s="1019"/>
      <c r="AD113" s="1019"/>
      <c r="AE113" s="1019"/>
      <c r="AF113" s="1019"/>
      <c r="AG113" s="1019"/>
      <c r="AH113" s="1019"/>
      <c r="AI113" s="53"/>
      <c r="AJ113" s="53"/>
      <c r="AK113" s="56"/>
      <c r="AL113" s="56"/>
      <c r="AM113" s="56"/>
      <c r="AN113" s="56"/>
      <c r="AO113" s="56"/>
      <c r="AP113" s="56"/>
      <c r="AQ113" s="56"/>
      <c r="AR113" s="53"/>
      <c r="AS113" s="1019"/>
      <c r="AT113" s="1019"/>
      <c r="AU113" s="1019"/>
      <c r="AV113" s="1019"/>
      <c r="AW113" s="1019"/>
      <c r="AX113" s="1019"/>
      <c r="AY113" s="1019"/>
      <c r="AZ113" s="1019"/>
      <c r="BA113" s="1019"/>
      <c r="BB113" s="1019"/>
      <c r="BC113" s="1019"/>
    </row>
    <row r="114" spans="1:55" s="1" customFormat="1" ht="13.9" customHeight="1">
      <c r="A114" s="37"/>
      <c r="B114" s="158"/>
      <c r="C114" s="158" t="s">
        <v>259</v>
      </c>
      <c r="D114" s="2130" t="s">
        <v>213</v>
      </c>
      <c r="E114" s="2130"/>
      <c r="F114" s="2130" t="s">
        <v>214</v>
      </c>
      <c r="G114" s="2130"/>
      <c r="H114" s="2130"/>
      <c r="I114" s="2130" t="s">
        <v>215</v>
      </c>
      <c r="J114" s="2130" t="s">
        <v>216</v>
      </c>
      <c r="K114" s="58"/>
      <c r="L114" s="3229"/>
      <c r="M114" s="3229"/>
      <c r="N114" s="3229"/>
      <c r="O114" s="3229"/>
      <c r="P114" s="3229"/>
      <c r="Q114" s="3229"/>
      <c r="R114" s="3229"/>
      <c r="S114" s="3229"/>
      <c r="T114" s="3229"/>
      <c r="U114" s="3229"/>
      <c r="V114" s="1234"/>
      <c r="W114" s="1234"/>
      <c r="X114" s="1082"/>
      <c r="Y114" s="1082"/>
      <c r="Z114" s="2709">
        <v>23</v>
      </c>
      <c r="AA114" s="2712">
        <v>0.80200000000000005</v>
      </c>
      <c r="AB114" s="1019"/>
      <c r="AC114" s="1019"/>
      <c r="AD114" s="1019"/>
      <c r="AE114" s="1019"/>
      <c r="AF114" s="1019"/>
      <c r="AG114" s="1019"/>
      <c r="AH114" s="1019"/>
      <c r="AI114" s="53"/>
      <c r="AJ114" s="53"/>
      <c r="AK114" s="56"/>
      <c r="AL114" s="56"/>
      <c r="AM114" s="56"/>
      <c r="AN114" s="56"/>
      <c r="AO114" s="56"/>
      <c r="AP114" s="56"/>
      <c r="AQ114" s="56"/>
      <c r="AR114" s="53"/>
      <c r="AS114" s="1019"/>
      <c r="AT114" s="1019"/>
      <c r="AU114" s="1019"/>
      <c r="AV114" s="1019"/>
      <c r="AW114" s="1019"/>
      <c r="AX114" s="1019"/>
      <c r="AY114" s="1019"/>
      <c r="AZ114" s="1019"/>
      <c r="BA114" s="1019"/>
      <c r="BB114" s="1019"/>
      <c r="BC114" s="1019"/>
    </row>
    <row r="115" spans="1:55" s="1" customFormat="1" ht="13.9" customHeight="1">
      <c r="A115" s="37"/>
      <c r="B115" s="158"/>
      <c r="C115" s="8" t="s">
        <v>260</v>
      </c>
      <c r="D115" s="388">
        <v>310</v>
      </c>
      <c r="E115" s="388"/>
      <c r="F115" s="389">
        <v>0.62</v>
      </c>
      <c r="G115" s="389"/>
      <c r="H115" s="389"/>
      <c r="I115" s="390">
        <v>5.5</v>
      </c>
      <c r="J115" s="158"/>
      <c r="K115" s="58"/>
      <c r="L115" s="3229"/>
      <c r="M115" s="3229"/>
      <c r="N115" s="3229"/>
      <c r="O115" s="3229"/>
      <c r="P115" s="3229"/>
      <c r="Q115" s="3229"/>
      <c r="R115" s="3229"/>
      <c r="S115" s="3229"/>
      <c r="T115" s="3229"/>
      <c r="U115" s="3229"/>
      <c r="V115" s="1234"/>
      <c r="W115" s="1234"/>
      <c r="X115" s="1082"/>
      <c r="Y115" s="1082"/>
      <c r="Z115" s="2709">
        <f>(Z114+Z116)/2</f>
        <v>23.5</v>
      </c>
      <c r="AA115" s="2709">
        <f>(AA114+AA116)/2</f>
        <v>0.79150000000000009</v>
      </c>
      <c r="AB115" s="1019"/>
      <c r="AC115" s="1019"/>
      <c r="AD115" s="1019"/>
      <c r="AE115" s="1019"/>
      <c r="AF115" s="1019"/>
      <c r="AG115" s="1019"/>
      <c r="AH115" s="1019"/>
      <c r="AI115" s="53"/>
      <c r="AJ115" s="53"/>
      <c r="AK115" s="56"/>
      <c r="AL115" s="56"/>
      <c r="AM115" s="56"/>
      <c r="AN115" s="56"/>
      <c r="AO115" s="56"/>
      <c r="AP115" s="56"/>
      <c r="AQ115" s="56"/>
      <c r="AR115" s="53"/>
      <c r="AS115" s="1019"/>
      <c r="AT115" s="1019"/>
      <c r="AU115" s="1019"/>
      <c r="AV115" s="1019"/>
      <c r="AW115" s="1019"/>
      <c r="AX115" s="1019"/>
      <c r="AY115" s="1019"/>
      <c r="AZ115" s="1019"/>
      <c r="BA115" s="1019"/>
      <c r="BB115" s="1019"/>
      <c r="BC115" s="1019"/>
    </row>
    <row r="116" spans="1:55" s="1" customFormat="1" ht="13.9" customHeight="1">
      <c r="A116" s="37"/>
      <c r="B116" s="158"/>
      <c r="C116" s="8" t="s">
        <v>261</v>
      </c>
      <c r="D116" s="388">
        <v>310</v>
      </c>
      <c r="E116" s="388"/>
      <c r="F116" s="389">
        <v>0.62</v>
      </c>
      <c r="G116" s="389"/>
      <c r="H116" s="389"/>
      <c r="I116" s="390">
        <v>10</v>
      </c>
      <c r="J116" s="158"/>
      <c r="K116" s="58"/>
      <c r="L116" s="3229"/>
      <c r="M116" s="3229"/>
      <c r="N116" s="3229"/>
      <c r="O116" s="3229"/>
      <c r="P116" s="3229"/>
      <c r="Q116" s="3229"/>
      <c r="R116" s="3229"/>
      <c r="S116" s="3229"/>
      <c r="T116" s="3229"/>
      <c r="U116" s="3229"/>
      <c r="V116" s="1234"/>
      <c r="W116" s="1234"/>
      <c r="X116" s="1082"/>
      <c r="Y116" s="1082"/>
      <c r="Z116" s="2709">
        <v>24</v>
      </c>
      <c r="AA116" s="2712">
        <v>0.78100000000000003</v>
      </c>
      <c r="AB116" s="1019"/>
      <c r="AC116" s="1019"/>
      <c r="AD116" s="1019"/>
      <c r="AE116" s="1019"/>
      <c r="AF116" s="1019"/>
      <c r="AG116" s="1019"/>
      <c r="AH116" s="1019"/>
      <c r="AI116" s="53"/>
      <c r="AJ116" s="53"/>
      <c r="AK116" s="56"/>
      <c r="AL116" s="56"/>
      <c r="AM116" s="56"/>
      <c r="AN116" s="56"/>
      <c r="AO116" s="56"/>
      <c r="AP116" s="56"/>
      <c r="AQ116" s="56"/>
      <c r="AR116" s="53"/>
      <c r="AS116" s="1019"/>
      <c r="AT116" s="1019"/>
      <c r="AU116" s="1019"/>
      <c r="AV116" s="1019"/>
      <c r="AW116" s="1019"/>
      <c r="AX116" s="1019"/>
      <c r="AY116" s="1019"/>
      <c r="AZ116" s="1019"/>
      <c r="BA116" s="1019"/>
      <c r="BB116" s="1019"/>
      <c r="BC116" s="1019"/>
    </row>
    <row r="117" spans="1:55" s="1" customFormat="1" ht="13.9" customHeight="1">
      <c r="A117" s="37"/>
      <c r="B117" s="158"/>
      <c r="C117" s="8" t="s">
        <v>262</v>
      </c>
      <c r="D117" s="390">
        <v>310</v>
      </c>
      <c r="E117" s="390"/>
      <c r="F117" s="390">
        <v>0.62</v>
      </c>
      <c r="G117" s="390"/>
      <c r="H117" s="390"/>
      <c r="I117" s="390">
        <v>18</v>
      </c>
      <c r="J117" s="158"/>
      <c r="K117" s="58"/>
      <c r="L117" s="3229"/>
      <c r="M117" s="3229"/>
      <c r="N117" s="3229"/>
      <c r="O117" s="3229"/>
      <c r="P117" s="3229"/>
      <c r="Q117" s="3229"/>
      <c r="R117" s="3229"/>
      <c r="S117" s="3229"/>
      <c r="T117" s="3229"/>
      <c r="U117" s="3229"/>
      <c r="V117" s="1234"/>
      <c r="W117" s="1234"/>
      <c r="X117" s="1082"/>
      <c r="Y117" s="1082"/>
      <c r="Z117" s="2709">
        <f>(Z116+Z118)/2</f>
        <v>24.5</v>
      </c>
      <c r="AA117" s="2709">
        <f>(AA116+AA118)/2</f>
        <v>0.77</v>
      </c>
      <c r="AB117" s="56"/>
      <c r="AC117" s="57"/>
      <c r="AD117" s="57"/>
      <c r="AE117" s="57"/>
      <c r="AF117" s="57"/>
      <c r="AG117" s="56"/>
      <c r="AH117" s="53"/>
      <c r="AI117" s="53"/>
      <c r="AJ117" s="53"/>
      <c r="AK117" s="56"/>
      <c r="AL117" s="56"/>
      <c r="AM117" s="56"/>
      <c r="AN117" s="56"/>
      <c r="AO117" s="56"/>
      <c r="AP117" s="56"/>
      <c r="AQ117" s="56"/>
      <c r="AR117" s="53"/>
      <c r="AS117" s="1019"/>
      <c r="AT117" s="1019"/>
      <c r="AU117" s="1019"/>
      <c r="AV117" s="1019"/>
      <c r="AW117" s="1019"/>
      <c r="AX117" s="1019"/>
      <c r="AY117" s="1019"/>
      <c r="AZ117" s="1019"/>
      <c r="BA117" s="1019"/>
      <c r="BB117" s="1019"/>
      <c r="BC117" s="1019"/>
    </row>
    <row r="118" spans="1:55" s="1" customFormat="1" ht="13.9" customHeight="1">
      <c r="A118" s="37"/>
      <c r="B118" s="158"/>
      <c r="C118" s="8" t="s">
        <v>263</v>
      </c>
      <c r="D118" s="388">
        <v>310</v>
      </c>
      <c r="E118" s="388"/>
      <c r="F118" s="389">
        <v>0.62</v>
      </c>
      <c r="G118" s="389"/>
      <c r="H118" s="389"/>
      <c r="I118" s="390">
        <v>55</v>
      </c>
      <c r="J118" s="158"/>
      <c r="K118" s="58"/>
      <c r="L118" s="3229"/>
      <c r="M118" s="3229"/>
      <c r="N118" s="3229"/>
      <c r="O118" s="3229"/>
      <c r="P118" s="3229"/>
      <c r="Q118" s="3229"/>
      <c r="R118" s="3229"/>
      <c r="S118" s="3229"/>
      <c r="T118" s="3229"/>
      <c r="U118" s="3229"/>
      <c r="V118" s="1234"/>
      <c r="W118" s="1234"/>
      <c r="X118" s="1082"/>
      <c r="Y118" s="1082"/>
      <c r="Z118" s="2709">
        <v>25</v>
      </c>
      <c r="AA118" s="2712">
        <v>0.75900000000000001</v>
      </c>
      <c r="AB118" s="56"/>
      <c r="AC118" s="57"/>
      <c r="AD118" s="57"/>
      <c r="AE118" s="57"/>
      <c r="AF118" s="57"/>
      <c r="AG118" s="56"/>
      <c r="AH118" s="53"/>
      <c r="AI118" s="53"/>
      <c r="AJ118" s="53"/>
      <c r="AK118" s="56"/>
      <c r="AL118" s="56"/>
      <c r="AM118" s="56"/>
      <c r="AN118" s="56"/>
      <c r="AO118" s="56"/>
      <c r="AP118" s="56"/>
      <c r="AQ118" s="56"/>
      <c r="AR118" s="53"/>
      <c r="AS118" s="1019"/>
      <c r="AT118" s="1019"/>
      <c r="AU118" s="1019"/>
      <c r="AV118" s="1019"/>
      <c r="AW118" s="1019"/>
      <c r="AX118" s="1019"/>
      <c r="AY118" s="1019"/>
      <c r="AZ118" s="1019"/>
      <c r="BA118" s="1019"/>
      <c r="BB118" s="1019"/>
      <c r="BC118" s="1019"/>
    </row>
    <row r="119" spans="1:55" s="1" customFormat="1" ht="13.9" customHeight="1">
      <c r="A119" s="37"/>
      <c r="B119" s="36"/>
      <c r="C119" s="10" t="s">
        <v>264</v>
      </c>
      <c r="D119" s="388">
        <v>310</v>
      </c>
      <c r="E119" s="388"/>
      <c r="F119" s="389">
        <v>0.62</v>
      </c>
      <c r="G119" s="389"/>
      <c r="H119" s="389"/>
      <c r="I119" s="390">
        <v>95</v>
      </c>
      <c r="J119" s="158"/>
      <c r="K119" s="58"/>
      <c r="L119" s="3229"/>
      <c r="M119" s="3229"/>
      <c r="N119" s="3229"/>
      <c r="O119" s="3229"/>
      <c r="P119" s="3229"/>
      <c r="Q119" s="3229"/>
      <c r="R119" s="3229"/>
      <c r="S119" s="3229"/>
      <c r="T119" s="3229"/>
      <c r="U119" s="3229"/>
      <c r="V119" s="1234"/>
      <c r="W119" s="1234"/>
      <c r="X119" s="1082"/>
      <c r="Y119" s="1082"/>
      <c r="Z119" s="2709">
        <f>(Z118+Z120)/2</f>
        <v>25.5</v>
      </c>
      <c r="AA119" s="2709">
        <f>(AA118+AA120)/2</f>
        <v>0.74849999999999994</v>
      </c>
      <c r="AB119" s="56"/>
      <c r="AC119" s="57"/>
      <c r="AD119" s="57"/>
      <c r="AE119" s="57"/>
      <c r="AF119" s="57"/>
      <c r="AG119" s="56"/>
      <c r="AH119" s="53"/>
      <c r="AI119" s="53"/>
      <c r="AJ119" s="53"/>
      <c r="AK119" s="56"/>
      <c r="AL119" s="56"/>
      <c r="AM119" s="56"/>
      <c r="AN119" s="56"/>
      <c r="AO119" s="56"/>
      <c r="AP119" s="56"/>
      <c r="AQ119" s="56"/>
      <c r="AR119" s="53"/>
      <c r="AS119" s="1019"/>
      <c r="AT119" s="1019"/>
      <c r="AU119" s="1019"/>
      <c r="AV119" s="1019"/>
      <c r="AW119" s="1019"/>
      <c r="AX119" s="1019"/>
      <c r="AY119" s="1019"/>
      <c r="AZ119" s="1019"/>
      <c r="BA119" s="1019"/>
      <c r="BB119" s="1019"/>
      <c r="BC119" s="1019"/>
    </row>
    <row r="120" spans="1:55" s="1" customFormat="1" ht="13.9" customHeight="1">
      <c r="A120" s="37"/>
      <c r="B120" s="158"/>
      <c r="C120" s="17" t="s">
        <v>265</v>
      </c>
      <c r="D120" s="388">
        <v>310</v>
      </c>
      <c r="E120" s="388"/>
      <c r="F120" s="389">
        <v>0.62</v>
      </c>
      <c r="G120" s="389"/>
      <c r="H120" s="389"/>
      <c r="I120" s="391">
        <v>9</v>
      </c>
      <c r="J120" s="158"/>
      <c r="K120" s="58"/>
      <c r="L120" s="3229"/>
      <c r="M120" s="3229"/>
      <c r="N120" s="3229"/>
      <c r="O120" s="3229"/>
      <c r="P120" s="3229"/>
      <c r="Q120" s="3229"/>
      <c r="R120" s="3229"/>
      <c r="S120" s="3229"/>
      <c r="T120" s="3229"/>
      <c r="U120" s="3229"/>
      <c r="V120" s="1234"/>
      <c r="W120" s="1234"/>
      <c r="X120" s="1082"/>
      <c r="Y120" s="1082"/>
      <c r="Z120" s="2709">
        <v>26</v>
      </c>
      <c r="AA120" s="2712">
        <v>0.73799999999999999</v>
      </c>
      <c r="AB120" s="56"/>
      <c r="AC120" s="57"/>
      <c r="AD120" s="57"/>
      <c r="AE120" s="57"/>
      <c r="AF120" s="57"/>
      <c r="AG120" s="56"/>
      <c r="AH120" s="53"/>
      <c r="AI120" s="53"/>
      <c r="AJ120" s="53"/>
      <c r="AK120" s="56"/>
      <c r="AL120" s="56"/>
      <c r="AM120" s="56"/>
      <c r="AN120" s="56"/>
      <c r="AO120" s="56"/>
      <c r="AP120" s="56"/>
      <c r="AQ120" s="56"/>
      <c r="AR120" s="53"/>
      <c r="AS120" s="1019"/>
      <c r="AT120" s="1019"/>
      <c r="AU120" s="1019"/>
      <c r="AV120" s="1019"/>
      <c r="AW120" s="1019"/>
      <c r="AX120" s="1019"/>
      <c r="AY120" s="1019"/>
      <c r="AZ120" s="1019"/>
      <c r="BA120" s="1019"/>
      <c r="BB120" s="1019"/>
      <c r="BC120" s="1019"/>
    </row>
    <row r="121" spans="1:55" s="1" customFormat="1" ht="13.9" customHeight="1">
      <c r="A121" s="37"/>
      <c r="B121" s="158"/>
      <c r="C121" s="17" t="s">
        <v>148</v>
      </c>
      <c r="D121" s="390"/>
      <c r="E121" s="390"/>
      <c r="F121" s="390"/>
      <c r="G121" s="390"/>
      <c r="H121" s="390"/>
      <c r="I121" s="390"/>
      <c r="J121" s="158"/>
      <c r="K121" s="58"/>
      <c r="L121" s="3229"/>
      <c r="M121" s="3229"/>
      <c r="N121" s="3229"/>
      <c r="O121" s="3229"/>
      <c r="P121" s="3229"/>
      <c r="Q121" s="3229"/>
      <c r="R121" s="3229"/>
      <c r="S121" s="3229"/>
      <c r="T121" s="3229"/>
      <c r="U121" s="3229"/>
      <c r="V121" s="1234"/>
      <c r="W121" s="1234"/>
      <c r="X121" s="1082"/>
      <c r="Y121" s="1082"/>
      <c r="Z121" s="2709">
        <v>27</v>
      </c>
      <c r="AA121" s="2712">
        <v>0.71799999999999997</v>
      </c>
      <c r="AB121" s="56"/>
      <c r="AC121" s="57"/>
      <c r="AD121" s="57"/>
      <c r="AE121" s="57"/>
      <c r="AF121" s="57"/>
      <c r="AG121" s="56"/>
      <c r="AH121" s="53"/>
      <c r="AI121" s="53"/>
      <c r="AJ121" s="53"/>
      <c r="AK121" s="56"/>
      <c r="AL121" s="56"/>
      <c r="AM121" s="56"/>
      <c r="AN121" s="56"/>
      <c r="AO121" s="56"/>
      <c r="AP121" s="56"/>
      <c r="AQ121" s="56"/>
      <c r="AR121" s="53"/>
      <c r="AS121" s="1019"/>
      <c r="AT121" s="1019"/>
      <c r="AU121" s="1019"/>
      <c r="AV121" s="1019"/>
      <c r="AW121" s="1019"/>
      <c r="AX121" s="1019"/>
      <c r="AY121" s="1019"/>
      <c r="AZ121" s="1019"/>
      <c r="BA121" s="1019"/>
      <c r="BB121" s="1019"/>
      <c r="BC121" s="1019"/>
    </row>
    <row r="122" spans="1:55" s="1" customFormat="1" ht="13.9" customHeight="1">
      <c r="A122" s="37"/>
      <c r="B122" s="158"/>
      <c r="C122" s="158"/>
      <c r="D122" s="158"/>
      <c r="E122" s="158"/>
      <c r="F122" s="158"/>
      <c r="G122" s="158"/>
      <c r="H122" s="158"/>
      <c r="I122" s="158"/>
      <c r="J122" s="158"/>
      <c r="K122" s="58"/>
      <c r="L122" s="3229"/>
      <c r="M122" s="3229"/>
      <c r="N122" s="3229"/>
      <c r="O122" s="3229"/>
      <c r="P122" s="3229"/>
      <c r="Q122" s="3229"/>
      <c r="R122" s="3229"/>
      <c r="S122" s="3229"/>
      <c r="T122" s="3229"/>
      <c r="U122" s="3229"/>
      <c r="V122" s="1234"/>
      <c r="W122" s="1234"/>
      <c r="X122" s="1082"/>
      <c r="Y122" s="1082"/>
      <c r="Z122" s="2709">
        <v>28</v>
      </c>
      <c r="AA122" s="2712">
        <v>0.69899999999999995</v>
      </c>
      <c r="AB122" s="56"/>
      <c r="AC122" s="57"/>
      <c r="AD122" s="57"/>
      <c r="AE122" s="57"/>
      <c r="AF122" s="57"/>
      <c r="AG122" s="56"/>
      <c r="AH122" s="53"/>
      <c r="AI122" s="53"/>
      <c r="AJ122" s="53"/>
      <c r="AK122" s="56"/>
      <c r="AL122" s="56"/>
      <c r="AM122" s="56"/>
      <c r="AN122" s="56"/>
      <c r="AO122" s="56"/>
      <c r="AP122" s="56"/>
      <c r="AQ122" s="56"/>
      <c r="AR122" s="53"/>
      <c r="AS122" s="1019"/>
      <c r="AT122" s="1019"/>
      <c r="AU122" s="1019"/>
      <c r="AV122" s="1019"/>
      <c r="AW122" s="1019"/>
      <c r="AX122" s="1019"/>
      <c r="AY122" s="1019"/>
      <c r="AZ122" s="1019"/>
      <c r="BA122" s="1019"/>
      <c r="BB122" s="1019"/>
      <c r="BC122" s="1019"/>
    </row>
    <row r="123" spans="1:55" s="1" customFormat="1" ht="13.9" customHeight="1">
      <c r="A123" s="37"/>
      <c r="B123" s="158"/>
      <c r="C123" s="158" t="s">
        <v>266</v>
      </c>
      <c r="D123" s="158"/>
      <c r="E123" s="158"/>
      <c r="F123" s="158"/>
      <c r="G123" s="158"/>
      <c r="H123" s="158"/>
      <c r="I123" s="158"/>
      <c r="J123" s="158"/>
      <c r="K123" s="58"/>
      <c r="L123" s="3229"/>
      <c r="M123" s="3229"/>
      <c r="N123" s="3229"/>
      <c r="O123" s="3229"/>
      <c r="P123" s="3229"/>
      <c r="Q123" s="3229"/>
      <c r="R123" s="3229"/>
      <c r="S123" s="3229"/>
      <c r="T123" s="3229"/>
      <c r="U123" s="3229"/>
      <c r="V123" s="1234"/>
      <c r="W123" s="1234"/>
      <c r="X123" s="1082"/>
      <c r="Y123" s="1082"/>
      <c r="Z123" s="2709">
        <v>29</v>
      </c>
      <c r="AA123" s="2711">
        <v>0.68200000000000005</v>
      </c>
      <c r="AB123" s="56"/>
      <c r="AC123" s="57"/>
      <c r="AD123" s="57"/>
      <c r="AE123" s="57"/>
      <c r="AF123" s="57"/>
      <c r="AG123" s="56"/>
      <c r="AH123" s="53"/>
      <c r="AI123" s="53"/>
      <c r="AJ123" s="53"/>
      <c r="AK123" s="56"/>
      <c r="AL123" s="56"/>
      <c r="AM123" s="56"/>
      <c r="AN123" s="56"/>
      <c r="AO123" s="56"/>
      <c r="AP123" s="56"/>
      <c r="AQ123" s="56"/>
      <c r="AR123" s="53"/>
      <c r="AS123" s="1019"/>
      <c r="AT123" s="1019"/>
      <c r="AU123" s="1019"/>
      <c r="AV123" s="1019"/>
      <c r="AW123" s="1019"/>
      <c r="AX123" s="1019"/>
      <c r="AY123" s="1019"/>
      <c r="AZ123" s="1019"/>
      <c r="BA123" s="1019"/>
      <c r="BB123" s="1019"/>
      <c r="BC123" s="1019"/>
    </row>
    <row r="124" spans="1:55" s="1" customFormat="1" ht="13.9" customHeight="1">
      <c r="A124" s="37"/>
      <c r="B124" s="158"/>
      <c r="C124" s="8" t="s">
        <v>261</v>
      </c>
      <c r="D124" s="388">
        <v>310</v>
      </c>
      <c r="E124" s="388"/>
      <c r="F124" s="389">
        <v>0.62</v>
      </c>
      <c r="G124" s="389"/>
      <c r="H124" s="389"/>
      <c r="I124" s="390">
        <v>10</v>
      </c>
      <c r="J124" s="390">
        <v>30</v>
      </c>
      <c r="K124" s="58"/>
      <c r="L124" s="3229"/>
      <c r="M124" s="3229"/>
      <c r="N124" s="3229"/>
      <c r="O124" s="3229"/>
      <c r="P124" s="3229"/>
      <c r="Q124" s="3229"/>
      <c r="R124" s="3229"/>
      <c r="S124" s="3229"/>
      <c r="T124" s="3229"/>
      <c r="U124" s="3229"/>
      <c r="V124" s="1234"/>
      <c r="W124" s="1234"/>
      <c r="X124" s="1082"/>
      <c r="Y124" s="1082"/>
      <c r="Z124" s="2709">
        <v>30</v>
      </c>
      <c r="AA124" s="2711">
        <v>0.66500000000000004</v>
      </c>
      <c r="AB124" s="56"/>
      <c r="AC124" s="57"/>
      <c r="AD124" s="57"/>
      <c r="AE124" s="57"/>
      <c r="AF124" s="57"/>
      <c r="AG124" s="56"/>
      <c r="AH124" s="53"/>
      <c r="AI124" s="53"/>
      <c r="AJ124" s="53"/>
      <c r="AK124" s="56"/>
      <c r="AL124" s="56"/>
      <c r="AM124" s="56"/>
      <c r="AN124" s="56"/>
      <c r="AO124" s="56"/>
      <c r="AP124" s="56"/>
      <c r="AQ124" s="56"/>
      <c r="AR124" s="53"/>
      <c r="AS124" s="1019"/>
      <c r="AT124" s="1019"/>
      <c r="AU124" s="1019"/>
      <c r="AV124" s="1019"/>
      <c r="AW124" s="1019"/>
      <c r="AX124" s="1019"/>
      <c r="AY124" s="1019"/>
      <c r="AZ124" s="1019"/>
      <c r="BA124" s="1019"/>
      <c r="BB124" s="1019"/>
      <c r="BC124" s="1019"/>
    </row>
    <row r="125" spans="1:55" s="1" customFormat="1" ht="13.9" customHeight="1">
      <c r="A125" s="37"/>
      <c r="B125" s="158"/>
      <c r="C125" s="8" t="s">
        <v>262</v>
      </c>
      <c r="D125" s="388">
        <v>310</v>
      </c>
      <c r="E125" s="388"/>
      <c r="F125" s="389">
        <v>0.62</v>
      </c>
      <c r="G125" s="389"/>
      <c r="H125" s="389"/>
      <c r="I125" s="390">
        <v>18</v>
      </c>
      <c r="J125" s="390">
        <v>50</v>
      </c>
      <c r="K125" s="58"/>
      <c r="L125" s="3229"/>
      <c r="M125" s="3229"/>
      <c r="N125" s="3229"/>
      <c r="O125" s="3229"/>
      <c r="P125" s="3229"/>
      <c r="Q125" s="3229"/>
      <c r="R125" s="3229"/>
      <c r="S125" s="3229"/>
      <c r="T125" s="3229"/>
      <c r="U125" s="3229"/>
      <c r="V125" s="1234"/>
      <c r="W125" s="1234"/>
      <c r="X125" s="1082"/>
      <c r="Y125" s="1082"/>
      <c r="Z125" s="53"/>
      <c r="AA125" s="53"/>
      <c r="AB125" s="56"/>
      <c r="AC125" s="57"/>
      <c r="AD125" s="57"/>
      <c r="AE125" s="57"/>
      <c r="AF125" s="57"/>
      <c r="AG125" s="56"/>
      <c r="AH125" s="53"/>
      <c r="AI125" s="53"/>
      <c r="AJ125" s="53"/>
      <c r="AK125" s="56"/>
      <c r="AL125" s="56"/>
      <c r="AM125" s="56"/>
      <c r="AN125" s="56"/>
      <c r="AO125" s="56"/>
      <c r="AP125" s="56"/>
      <c r="AQ125" s="56"/>
      <c r="AR125" s="53"/>
      <c r="AS125" s="1019"/>
      <c r="AT125" s="1019"/>
      <c r="AU125" s="1019"/>
      <c r="AV125" s="1019"/>
      <c r="AW125" s="1019"/>
      <c r="AX125" s="1019"/>
      <c r="AY125" s="1019"/>
      <c r="AZ125" s="1019"/>
      <c r="BA125" s="1019"/>
      <c r="BB125" s="1019"/>
      <c r="BC125" s="1019"/>
    </row>
    <row r="126" spans="1:55" s="1" customFormat="1" ht="13.9" customHeight="1">
      <c r="A126" s="37"/>
      <c r="B126" s="158"/>
      <c r="C126" s="8" t="s">
        <v>263</v>
      </c>
      <c r="D126" s="388">
        <v>310</v>
      </c>
      <c r="E126" s="388"/>
      <c r="F126" s="389">
        <v>0.62</v>
      </c>
      <c r="G126" s="389"/>
      <c r="H126" s="389"/>
      <c r="I126" s="390">
        <v>55</v>
      </c>
      <c r="J126" s="390">
        <v>50</v>
      </c>
      <c r="K126" s="58"/>
      <c r="L126" s="3229"/>
      <c r="M126" s="3229"/>
      <c r="N126" s="3229"/>
      <c r="O126" s="3229"/>
      <c r="P126" s="3229"/>
      <c r="Q126" s="3229"/>
      <c r="R126" s="3229"/>
      <c r="S126" s="3229"/>
      <c r="T126" s="3229"/>
      <c r="U126" s="3229"/>
      <c r="V126" s="1234"/>
      <c r="W126" s="1234"/>
      <c r="X126" s="1082"/>
      <c r="Y126" s="1082"/>
      <c r="Z126" s="53"/>
      <c r="AA126" s="53"/>
      <c r="AB126" s="56"/>
      <c r="AC126" s="57"/>
      <c r="AD126" s="57"/>
      <c r="AE126" s="57"/>
      <c r="AF126" s="57"/>
      <c r="AG126" s="56"/>
      <c r="AH126" s="53"/>
      <c r="AI126" s="53"/>
      <c r="AJ126" s="53"/>
      <c r="AK126" s="56"/>
      <c r="AL126" s="56"/>
      <c r="AM126" s="56"/>
      <c r="AN126" s="56"/>
      <c r="AO126" s="56"/>
      <c r="AP126" s="56"/>
      <c r="AQ126" s="56"/>
      <c r="AR126" s="53"/>
      <c r="AS126" s="1019"/>
      <c r="AT126" s="1019"/>
      <c r="AU126" s="1019"/>
      <c r="AV126" s="1019"/>
      <c r="AW126" s="1019"/>
      <c r="AX126" s="1019"/>
      <c r="AY126" s="1019"/>
      <c r="AZ126" s="1019"/>
      <c r="BA126" s="1019"/>
      <c r="BB126" s="1019"/>
      <c r="BC126" s="1019"/>
    </row>
    <row r="127" spans="1:55" s="1" customFormat="1" ht="13.9" customHeight="1">
      <c r="A127" s="37"/>
      <c r="B127" s="158"/>
      <c r="C127" s="17" t="s">
        <v>148</v>
      </c>
      <c r="D127" s="388"/>
      <c r="E127" s="388"/>
      <c r="F127" s="389"/>
      <c r="G127" s="389"/>
      <c r="H127" s="389"/>
      <c r="I127" s="390"/>
      <c r="J127" s="390"/>
      <c r="K127" s="58"/>
      <c r="L127" s="3229"/>
      <c r="M127" s="3229"/>
      <c r="N127" s="3229"/>
      <c r="O127" s="3229"/>
      <c r="P127" s="3229"/>
      <c r="Q127" s="3229"/>
      <c r="R127" s="3229"/>
      <c r="S127" s="3229"/>
      <c r="T127" s="3229"/>
      <c r="U127" s="3229"/>
      <c r="V127" s="1234"/>
      <c r="W127" s="1234"/>
      <c r="X127" s="1082"/>
      <c r="Y127" s="1082"/>
      <c r="Z127" s="53"/>
      <c r="AA127" s="53"/>
      <c r="AB127" s="56"/>
      <c r="AC127" s="57"/>
      <c r="AD127" s="57"/>
      <c r="AE127" s="57"/>
      <c r="AF127" s="57"/>
      <c r="AG127" s="56"/>
      <c r="AH127" s="53"/>
      <c r="AI127" s="53"/>
      <c r="AJ127" s="53"/>
      <c r="AK127" s="56"/>
      <c r="AL127" s="56"/>
      <c r="AM127" s="56"/>
      <c r="AN127" s="56"/>
      <c r="AO127" s="56"/>
      <c r="AP127" s="56"/>
      <c r="AQ127" s="56"/>
      <c r="AR127" s="53"/>
      <c r="AS127" s="1019"/>
      <c r="AT127" s="1019"/>
      <c r="AU127" s="1019"/>
      <c r="AV127" s="1019"/>
      <c r="AW127" s="1019"/>
      <c r="AX127" s="1019"/>
      <c r="AY127" s="1019"/>
      <c r="AZ127" s="1019"/>
      <c r="BA127" s="1019"/>
      <c r="BB127" s="1019"/>
      <c r="BC127" s="1019"/>
    </row>
    <row r="128" spans="1:55" s="1" customFormat="1" ht="13.9" customHeight="1">
      <c r="A128" s="37"/>
      <c r="B128" s="158"/>
      <c r="C128" s="158"/>
      <c r="D128" s="158"/>
      <c r="E128" s="158"/>
      <c r="F128" s="158"/>
      <c r="G128" s="158"/>
      <c r="H128" s="158"/>
      <c r="I128" s="158"/>
      <c r="J128" s="158"/>
      <c r="K128" s="58"/>
      <c r="L128" s="3229"/>
      <c r="M128" s="3229"/>
      <c r="N128" s="3229"/>
      <c r="O128" s="3229"/>
      <c r="P128" s="3229"/>
      <c r="Q128" s="3229"/>
      <c r="R128" s="3229"/>
      <c r="S128" s="3229"/>
      <c r="T128" s="3229"/>
      <c r="U128" s="3229"/>
      <c r="V128" s="1234"/>
      <c r="W128" s="1234"/>
      <c r="X128" s="1082"/>
      <c r="Y128" s="1082"/>
      <c r="Z128" s="53"/>
      <c r="AA128" s="53"/>
      <c r="AB128" s="56"/>
      <c r="AC128" s="57"/>
      <c r="AD128" s="57"/>
      <c r="AE128" s="57"/>
      <c r="AF128" s="57"/>
      <c r="AG128" s="56"/>
      <c r="AH128" s="53"/>
      <c r="AI128" s="53"/>
      <c r="AJ128" s="53"/>
      <c r="AK128" s="56"/>
      <c r="AL128" s="56"/>
      <c r="AM128" s="56"/>
      <c r="AN128" s="56"/>
      <c r="AO128" s="56"/>
      <c r="AP128" s="56"/>
      <c r="AQ128" s="56"/>
      <c r="AR128" s="53"/>
      <c r="AS128" s="1019"/>
      <c r="AT128" s="1019"/>
      <c r="AU128" s="1019"/>
      <c r="AV128" s="1019"/>
      <c r="AW128" s="1019"/>
      <c r="AX128" s="1019"/>
      <c r="AY128" s="1019"/>
      <c r="AZ128" s="1019"/>
      <c r="BA128" s="1019"/>
      <c r="BB128" s="1019"/>
      <c r="BC128" s="1019"/>
    </row>
    <row r="129" spans="1:55" s="1" customFormat="1" ht="13.9" customHeight="1">
      <c r="A129" s="37"/>
      <c r="B129" s="158"/>
      <c r="C129" s="158" t="s">
        <v>267</v>
      </c>
      <c r="D129" s="158"/>
      <c r="E129" s="158"/>
      <c r="F129" s="158"/>
      <c r="G129" s="158"/>
      <c r="H129" s="158"/>
      <c r="I129" s="158"/>
      <c r="J129" s="158"/>
      <c r="K129" s="58"/>
      <c r="L129" s="3229"/>
      <c r="M129" s="3229"/>
      <c r="N129" s="3229"/>
      <c r="O129" s="3229"/>
      <c r="P129" s="3229"/>
      <c r="Q129" s="3229"/>
      <c r="R129" s="3229"/>
      <c r="S129" s="3229"/>
      <c r="T129" s="3229"/>
      <c r="U129" s="3229"/>
      <c r="V129" s="1234"/>
      <c r="W129" s="1234"/>
      <c r="X129" s="1082"/>
      <c r="Y129" s="1082"/>
      <c r="AI129" s="53"/>
      <c r="AJ129" s="53"/>
      <c r="AK129" s="56"/>
      <c r="AL129" s="56"/>
      <c r="AM129" s="56"/>
      <c r="AN129" s="56"/>
      <c r="AO129" s="56"/>
      <c r="AP129" s="56"/>
      <c r="AQ129" s="56"/>
      <c r="AR129" s="53"/>
      <c r="AS129" s="1019"/>
      <c r="AT129" s="1019"/>
      <c r="AU129" s="1019"/>
      <c r="AV129" s="1019"/>
      <c r="AW129" s="1019"/>
      <c r="AX129" s="1019"/>
      <c r="AY129" s="1019"/>
      <c r="AZ129" s="1019"/>
      <c r="BA129" s="1019"/>
      <c r="BB129" s="1019"/>
      <c r="BC129" s="1019"/>
    </row>
    <row r="130" spans="1:55" s="1" customFormat="1" ht="13.9" customHeight="1">
      <c r="A130" s="37"/>
      <c r="B130" s="158"/>
      <c r="C130" s="8" t="s">
        <v>260</v>
      </c>
      <c r="D130" s="388">
        <v>365</v>
      </c>
      <c r="E130" s="388"/>
      <c r="F130" s="389">
        <v>0.62</v>
      </c>
      <c r="G130" s="389"/>
      <c r="H130" s="389"/>
      <c r="I130" s="390">
        <v>6</v>
      </c>
      <c r="J130" s="158"/>
      <c r="K130" s="58"/>
      <c r="L130" s="3229"/>
      <c r="M130" s="3229"/>
      <c r="N130" s="3229"/>
      <c r="O130" s="3229"/>
      <c r="P130" s="3229"/>
      <c r="Q130" s="3229"/>
      <c r="R130" s="3229"/>
      <c r="S130" s="3229"/>
      <c r="T130" s="3229"/>
      <c r="U130" s="3229"/>
      <c r="V130" s="1234"/>
      <c r="W130" s="1234"/>
      <c r="X130" s="1082"/>
      <c r="Y130" s="1082"/>
      <c r="Z130" s="53"/>
      <c r="AA130" s="53"/>
      <c r="AB130" s="56"/>
      <c r="AC130" s="57"/>
      <c r="AD130" s="57"/>
      <c r="AE130" s="57"/>
      <c r="AF130" s="57"/>
      <c r="AG130" s="56"/>
      <c r="AH130" s="53"/>
      <c r="AI130" s="53"/>
      <c r="AJ130" s="53"/>
      <c r="AK130" s="56"/>
      <c r="AL130" s="56"/>
      <c r="AM130" s="56"/>
      <c r="AN130" s="56"/>
      <c r="AO130" s="56"/>
      <c r="AP130" s="56"/>
      <c r="AQ130" s="56"/>
      <c r="AR130" s="53"/>
      <c r="AS130" s="1019"/>
      <c r="AT130" s="1019"/>
      <c r="AU130" s="1019"/>
      <c r="AV130" s="1019"/>
      <c r="AW130" s="1019"/>
      <c r="AX130" s="1019"/>
      <c r="AY130" s="1019"/>
      <c r="AZ130" s="1019"/>
      <c r="BA130" s="1019"/>
      <c r="BB130" s="1019"/>
      <c r="BC130" s="1019"/>
    </row>
    <row r="131" spans="1:55" s="1" customFormat="1" ht="13.9" customHeight="1">
      <c r="A131" s="37"/>
      <c r="B131" s="158"/>
      <c r="C131" s="8" t="s">
        <v>261</v>
      </c>
      <c r="D131" s="388">
        <v>365</v>
      </c>
      <c r="E131" s="388"/>
      <c r="F131" s="389">
        <v>0.62</v>
      </c>
      <c r="G131" s="389"/>
      <c r="H131" s="389"/>
      <c r="I131" s="390">
        <v>9.5</v>
      </c>
      <c r="J131" s="158"/>
      <c r="K131" s="58"/>
      <c r="L131" s="3229"/>
      <c r="M131" s="3229"/>
      <c r="N131" s="3229"/>
      <c r="O131" s="3229"/>
      <c r="P131" s="3229"/>
      <c r="Q131" s="3229"/>
      <c r="R131" s="3229"/>
      <c r="S131" s="3229"/>
      <c r="T131" s="3229"/>
      <c r="U131" s="3229"/>
      <c r="V131" s="1234"/>
      <c r="W131" s="1234"/>
      <c r="X131" s="1082"/>
      <c r="Y131" s="1082"/>
      <c r="Z131" s="53"/>
      <c r="AA131" s="53"/>
      <c r="AB131" s="56"/>
      <c r="AC131" s="57"/>
      <c r="AD131" s="57"/>
      <c r="AE131" s="57"/>
      <c r="AF131" s="57"/>
      <c r="AG131" s="56"/>
      <c r="AH131" s="53"/>
      <c r="AI131" s="53"/>
      <c r="AJ131" s="53"/>
      <c r="AK131" s="56"/>
      <c r="AL131" s="56"/>
      <c r="AM131" s="56"/>
      <c r="AN131" s="56"/>
      <c r="AO131" s="56"/>
      <c r="AP131" s="56"/>
      <c r="AQ131" s="56"/>
      <c r="AR131" s="53"/>
      <c r="AS131" s="1019"/>
      <c r="AT131" s="1019"/>
      <c r="AU131" s="1019"/>
      <c r="AV131" s="1019"/>
      <c r="AW131" s="1019"/>
      <c r="AX131" s="1019"/>
      <c r="AY131" s="1019"/>
      <c r="AZ131" s="1019"/>
      <c r="BA131" s="1019"/>
      <c r="BB131" s="1019"/>
      <c r="BC131" s="1019"/>
    </row>
    <row r="132" spans="1:55" s="1" customFormat="1" ht="13.9" customHeight="1">
      <c r="A132" s="37"/>
      <c r="B132" s="158"/>
      <c r="C132" s="8" t="s">
        <v>268</v>
      </c>
      <c r="D132" s="388">
        <v>365</v>
      </c>
      <c r="E132" s="388"/>
      <c r="F132" s="389">
        <v>0.62</v>
      </c>
      <c r="G132" s="389"/>
      <c r="H132" s="389"/>
      <c r="I132" s="390">
        <v>34</v>
      </c>
      <c r="J132" s="158"/>
      <c r="K132" s="58"/>
      <c r="L132" s="3229"/>
      <c r="M132" s="3229"/>
      <c r="N132" s="3229"/>
      <c r="O132" s="3229"/>
      <c r="P132" s="3229"/>
      <c r="Q132" s="3229"/>
      <c r="R132" s="3229"/>
      <c r="S132" s="3229"/>
      <c r="T132" s="3229"/>
      <c r="U132" s="3229"/>
      <c r="V132" s="1234"/>
      <c r="W132" s="1234"/>
      <c r="X132" s="1082"/>
      <c r="Y132" s="1082"/>
      <c r="Z132" s="53"/>
      <c r="AA132" s="53"/>
      <c r="AB132" s="56"/>
      <c r="AC132" s="57"/>
      <c r="AD132" s="57"/>
      <c r="AE132" s="57"/>
      <c r="AF132" s="57"/>
      <c r="AG132" s="56"/>
      <c r="AH132" s="53"/>
      <c r="AI132" s="53"/>
      <c r="AJ132" s="53"/>
      <c r="AK132" s="56"/>
      <c r="AL132" s="56"/>
      <c r="AM132" s="56"/>
      <c r="AN132" s="56"/>
      <c r="AO132" s="56"/>
      <c r="AP132" s="56"/>
      <c r="AQ132" s="56"/>
      <c r="AR132" s="53"/>
      <c r="AS132" s="1019"/>
      <c r="AT132" s="1019"/>
      <c r="AU132" s="1019"/>
      <c r="AV132" s="1019"/>
      <c r="AW132" s="1019"/>
      <c r="AX132" s="1019"/>
      <c r="AY132" s="1019"/>
      <c r="AZ132" s="1019"/>
      <c r="BA132" s="1019"/>
      <c r="BB132" s="1019"/>
      <c r="BC132" s="1019"/>
    </row>
    <row r="133" spans="1:55" s="1" customFormat="1" ht="13.9" customHeight="1">
      <c r="A133" s="37"/>
      <c r="B133" s="158"/>
      <c r="C133" s="8" t="s">
        <v>263</v>
      </c>
      <c r="D133" s="388">
        <v>365</v>
      </c>
      <c r="E133" s="388"/>
      <c r="F133" s="389">
        <v>0.62</v>
      </c>
      <c r="G133" s="389"/>
      <c r="H133" s="389"/>
      <c r="I133" s="390">
        <v>57</v>
      </c>
      <c r="J133" s="158"/>
      <c r="K133" s="58"/>
      <c r="L133" s="37"/>
      <c r="M133" s="22">
        <v>0.04</v>
      </c>
      <c r="N133" s="49">
        <v>0.04</v>
      </c>
      <c r="O133" s="35"/>
      <c r="P133" s="1518" t="s">
        <v>132</v>
      </c>
      <c r="Q133" s="29"/>
      <c r="R133" s="29"/>
      <c r="S133" s="29"/>
      <c r="T133" s="29"/>
      <c r="U133" s="37"/>
      <c r="V133" s="159"/>
      <c r="W133" s="159"/>
      <c r="X133" s="159"/>
      <c r="Y133" s="159"/>
      <c r="Z133" s="53"/>
      <c r="AA133" s="53"/>
      <c r="AB133" s="53"/>
      <c r="AC133" s="160"/>
      <c r="AD133" s="160"/>
      <c r="AE133" s="161"/>
      <c r="AF133" s="161"/>
      <c r="AG133" s="162"/>
      <c r="AH133" s="53"/>
      <c r="AI133" s="53"/>
      <c r="AJ133" s="53"/>
      <c r="AK133" s="163"/>
      <c r="AL133" s="163"/>
      <c r="AM133" s="163"/>
      <c r="AN133" s="163"/>
      <c r="AO133" s="163"/>
      <c r="AP133" s="163"/>
      <c r="AQ133" s="163"/>
      <c r="AR133" s="53"/>
      <c r="AS133" s="1019"/>
      <c r="AT133" s="1019"/>
      <c r="AU133" s="1019"/>
      <c r="AV133" s="1019"/>
      <c r="AW133" s="1019"/>
      <c r="AX133" s="1019"/>
      <c r="AY133" s="1019"/>
      <c r="AZ133" s="1019"/>
      <c r="BA133" s="1019"/>
      <c r="BB133" s="1019"/>
      <c r="BC133" s="1019"/>
    </row>
    <row r="134" spans="1:55" s="1" customFormat="1" ht="13.9" customHeight="1">
      <c r="A134" s="37"/>
      <c r="B134" s="158"/>
      <c r="C134" s="17" t="s">
        <v>265</v>
      </c>
      <c r="D134" s="388">
        <v>365</v>
      </c>
      <c r="E134" s="388"/>
      <c r="F134" s="389">
        <v>0.62</v>
      </c>
      <c r="G134" s="389"/>
      <c r="H134" s="389"/>
      <c r="I134" s="390">
        <v>10</v>
      </c>
      <c r="J134" s="158"/>
      <c r="K134" s="58"/>
      <c r="L134" s="37"/>
      <c r="M134" s="23">
        <v>4.1500000000000004</v>
      </c>
      <c r="N134" s="50">
        <v>4.1500000000000004</v>
      </c>
      <c r="O134" s="35"/>
      <c r="P134" s="258" t="s">
        <v>295</v>
      </c>
      <c r="Q134" s="378" t="s">
        <v>23</v>
      </c>
      <c r="R134" s="3232" t="s">
        <v>983</v>
      </c>
      <c r="S134" s="3233"/>
      <c r="T134" s="3234" t="s">
        <v>141</v>
      </c>
      <c r="U134" s="3235"/>
      <c r="V134" s="159"/>
      <c r="W134" s="159"/>
      <c r="X134" s="159"/>
      <c r="Y134" s="159"/>
      <c r="Z134" s="53"/>
      <c r="AA134" s="53"/>
      <c r="AB134" s="53"/>
      <c r="AC134" s="60"/>
      <c r="AD134" s="57"/>
      <c r="AE134" s="161"/>
      <c r="AF134" s="161"/>
      <c r="AG134" s="162"/>
      <c r="AH134" s="53"/>
      <c r="AI134" s="53"/>
      <c r="AJ134" s="53"/>
      <c r="AK134" s="163"/>
      <c r="AL134" s="163"/>
      <c r="AM134" s="163"/>
      <c r="AN134" s="163"/>
      <c r="AO134" s="163"/>
      <c r="AP134" s="163"/>
      <c r="AQ134" s="163"/>
      <c r="AR134" s="53"/>
      <c r="AS134" s="1019"/>
      <c r="AT134" s="1019"/>
      <c r="AU134" s="1019"/>
      <c r="AV134" s="1019"/>
      <c r="AW134" s="1019"/>
      <c r="AX134" s="1019"/>
      <c r="AY134" s="1019"/>
      <c r="AZ134" s="1019"/>
      <c r="BA134" s="1019"/>
      <c r="BB134" s="1019"/>
      <c r="BC134" s="1019"/>
    </row>
    <row r="135" spans="1:55" s="1" customFormat="1" ht="13.9" customHeight="1">
      <c r="A135" s="37"/>
      <c r="B135" s="158"/>
      <c r="C135" s="17" t="s">
        <v>148</v>
      </c>
      <c r="D135" s="388"/>
      <c r="E135" s="388"/>
      <c r="F135" s="389"/>
      <c r="G135" s="389"/>
      <c r="H135" s="389"/>
      <c r="I135" s="390"/>
      <c r="J135" s="158"/>
      <c r="K135" s="58"/>
      <c r="L135" s="37"/>
      <c r="M135" s="1219" t="s">
        <v>182</v>
      </c>
      <c r="N135" s="1219" t="s">
        <v>184</v>
      </c>
      <c r="O135" s="35"/>
      <c r="P135" s="261">
        <v>2.2000000000000002</v>
      </c>
      <c r="Q135" s="1008">
        <f>P135*16</f>
        <v>35.200000000000003</v>
      </c>
      <c r="R135" s="3232" t="str">
        <f>INT(Q135/16)&amp;" lb. "&amp;FIXED(Q135-16*INT(Q135/16))</f>
        <v>2 lb. 3.20</v>
      </c>
      <c r="S135" s="3233"/>
      <c r="T135" s="3234">
        <f>Q135*28.3495</f>
        <v>997.90240000000006</v>
      </c>
      <c r="U135" s="3235"/>
      <c r="V135" s="159"/>
      <c r="W135" s="159"/>
      <c r="X135" s="159"/>
      <c r="Y135" s="159"/>
      <c r="Z135" s="53"/>
      <c r="AA135" s="53"/>
      <c r="AB135" s="53"/>
      <c r="AC135" s="60"/>
      <c r="AD135" s="57"/>
      <c r="AE135" s="161"/>
      <c r="AF135" s="161"/>
      <c r="AG135" s="162"/>
      <c r="AH135" s="53"/>
      <c r="AI135" s="53"/>
      <c r="AJ135" s="53"/>
      <c r="AK135" s="53"/>
      <c r="AL135" s="53"/>
      <c r="AM135" s="53"/>
      <c r="AN135" s="53"/>
      <c r="AO135" s="53"/>
      <c r="AP135" s="53"/>
      <c r="AQ135" s="53"/>
      <c r="AR135" s="53"/>
      <c r="AS135" s="1019"/>
      <c r="AT135" s="1019"/>
      <c r="AU135" s="1019"/>
      <c r="AV135" s="1019"/>
      <c r="AW135" s="1019"/>
      <c r="AX135" s="1019"/>
      <c r="AY135" s="1019"/>
      <c r="AZ135" s="1019"/>
      <c r="BA135" s="1019"/>
      <c r="BB135" s="1019"/>
      <c r="BC135" s="1019"/>
    </row>
    <row r="136" spans="1:55" s="1" customFormat="1" ht="13.9" customHeight="1">
      <c r="A136" s="37"/>
      <c r="B136" s="158"/>
      <c r="C136" s="158"/>
      <c r="D136" s="158"/>
      <c r="E136" s="158"/>
      <c r="F136" s="158"/>
      <c r="G136" s="158"/>
      <c r="H136" s="158"/>
      <c r="I136" s="158"/>
      <c r="J136" s="158"/>
      <c r="K136" s="58"/>
      <c r="L136" s="37"/>
      <c r="M136" s="1220" t="s">
        <v>183</v>
      </c>
      <c r="N136" s="1220" t="s">
        <v>183</v>
      </c>
      <c r="O136" s="35"/>
      <c r="P136" s="1119"/>
      <c r="Q136" s="1119"/>
      <c r="R136" s="1119"/>
      <c r="S136" s="1119"/>
      <c r="T136" s="1519"/>
      <c r="U136" s="37"/>
      <c r="V136" s="159"/>
      <c r="W136" s="159"/>
      <c r="X136" s="159"/>
      <c r="Y136" s="159"/>
      <c r="Z136" s="53"/>
      <c r="AA136" s="53"/>
      <c r="AB136" s="53"/>
      <c r="AC136" s="60"/>
      <c r="AD136" s="57"/>
      <c r="AE136" s="161"/>
      <c r="AF136" s="161"/>
      <c r="AG136" s="162"/>
      <c r="AH136" s="53"/>
      <c r="AI136" s="53"/>
      <c r="AJ136" s="53"/>
      <c r="AK136" s="53"/>
      <c r="AL136" s="53"/>
      <c r="AM136" s="53"/>
      <c r="AN136" s="53"/>
      <c r="AO136" s="53"/>
      <c r="AP136" s="53"/>
      <c r="AQ136" s="53"/>
      <c r="AR136" s="53"/>
      <c r="AS136" s="1019"/>
      <c r="AT136" s="1019"/>
      <c r="AU136" s="1019"/>
      <c r="AV136" s="1019"/>
      <c r="AW136" s="1019"/>
      <c r="AX136" s="1019"/>
      <c r="AY136" s="1019"/>
      <c r="AZ136" s="1019"/>
      <c r="BA136" s="1019"/>
      <c r="BB136" s="1019"/>
      <c r="BC136" s="1019"/>
    </row>
    <row r="137" spans="1:55" s="1" customFormat="1" ht="13.9" customHeight="1">
      <c r="A137" s="37"/>
      <c r="B137" s="158"/>
      <c r="C137" s="158" t="s">
        <v>269</v>
      </c>
      <c r="D137" s="158"/>
      <c r="E137" s="158"/>
      <c r="F137" s="158"/>
      <c r="G137" s="158"/>
      <c r="H137" s="158"/>
      <c r="I137" s="158"/>
      <c r="J137" s="158"/>
      <c r="K137" s="58"/>
      <c r="L137" s="35"/>
      <c r="M137" s="35"/>
      <c r="N137" s="35"/>
      <c r="O137" s="35"/>
      <c r="P137" s="377" t="s">
        <v>981</v>
      </c>
      <c r="Q137" s="378" t="s">
        <v>23</v>
      </c>
      <c r="R137" s="3222" t="s">
        <v>1532</v>
      </c>
      <c r="S137" s="3223"/>
      <c r="T137" s="1254"/>
      <c r="U137" s="37"/>
      <c r="V137" s="164"/>
      <c r="W137" s="164"/>
      <c r="X137" s="165" t="s">
        <v>232</v>
      </c>
      <c r="Y137" s="165" t="s">
        <v>232</v>
      </c>
      <c r="Z137" s="165" t="s">
        <v>232</v>
      </c>
      <c r="AA137" s="165" t="s">
        <v>232</v>
      </c>
      <c r="AB137" s="165" t="s">
        <v>232</v>
      </c>
      <c r="AC137" s="165" t="s">
        <v>232</v>
      </c>
      <c r="AD137" s="165" t="s">
        <v>232</v>
      </c>
      <c r="AE137" s="165" t="s">
        <v>232</v>
      </c>
      <c r="AF137" s="165" t="s">
        <v>232</v>
      </c>
      <c r="AG137" s="165" t="s">
        <v>232</v>
      </c>
      <c r="AH137" s="165" t="s">
        <v>232</v>
      </c>
      <c r="AI137" s="165" t="s">
        <v>232</v>
      </c>
      <c r="AJ137" s="166" t="s">
        <v>192</v>
      </c>
      <c r="AK137" s="166" t="s">
        <v>192</v>
      </c>
      <c r="AL137" s="166" t="s">
        <v>192</v>
      </c>
      <c r="AM137" s="166" t="s">
        <v>192</v>
      </c>
      <c r="AN137" s="166" t="s">
        <v>192</v>
      </c>
      <c r="AO137" s="166" t="s">
        <v>192</v>
      </c>
      <c r="AP137" s="166" t="s">
        <v>192</v>
      </c>
      <c r="AQ137" s="166" t="s">
        <v>192</v>
      </c>
      <c r="AR137" s="166" t="s">
        <v>192</v>
      </c>
      <c r="AS137" s="1019"/>
      <c r="AT137" s="1019"/>
      <c r="AU137" s="1019"/>
      <c r="AV137" s="1019"/>
      <c r="AW137" s="1019"/>
      <c r="AX137" s="1019"/>
      <c r="AY137" s="1019"/>
      <c r="AZ137" s="1019"/>
      <c r="BA137" s="1019"/>
      <c r="BB137" s="1019"/>
      <c r="BC137" s="1019"/>
    </row>
    <row r="138" spans="1:55" s="1" customFormat="1" ht="13.9" customHeight="1">
      <c r="A138" s="37"/>
      <c r="B138" s="158"/>
      <c r="C138" s="8" t="s">
        <v>261</v>
      </c>
      <c r="D138" s="388">
        <v>365</v>
      </c>
      <c r="E138" s="388"/>
      <c r="F138" s="389">
        <v>0.62</v>
      </c>
      <c r="G138" s="389"/>
      <c r="H138" s="389"/>
      <c r="I138" s="390">
        <v>9.5</v>
      </c>
      <c r="J138" s="390">
        <v>36</v>
      </c>
      <c r="K138" s="58"/>
      <c r="L138" s="35"/>
      <c r="M138" s="58"/>
      <c r="N138" s="58"/>
      <c r="O138" s="58"/>
      <c r="P138" s="1348">
        <v>2</v>
      </c>
      <c r="Q138" s="1347">
        <v>3.2</v>
      </c>
      <c r="R138" s="258">
        <f>1000*(P138+Q138/16)*0.4536</f>
        <v>997.92</v>
      </c>
      <c r="S138" s="266">
        <f>R138/1000</f>
        <v>0.99791999999999992</v>
      </c>
      <c r="T138" s="1254"/>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1019"/>
      <c r="AT138" s="1019"/>
      <c r="AU138" s="1019"/>
      <c r="AV138" s="1019"/>
      <c r="AW138" s="1019"/>
      <c r="AX138" s="1019"/>
      <c r="AY138" s="1019"/>
      <c r="AZ138" s="1019"/>
      <c r="BA138" s="1019"/>
      <c r="BB138" s="1019"/>
      <c r="BC138" s="1019"/>
    </row>
    <row r="139" spans="1:55" s="1" customFormat="1" ht="13.9" customHeight="1">
      <c r="A139" s="37"/>
      <c r="B139" s="158"/>
      <c r="C139" s="17" t="s">
        <v>148</v>
      </c>
      <c r="D139" s="388"/>
      <c r="E139" s="388"/>
      <c r="F139" s="389"/>
      <c r="G139" s="389"/>
      <c r="H139" s="389"/>
      <c r="I139" s="390"/>
      <c r="J139" s="390"/>
      <c r="K139" s="58"/>
      <c r="L139" s="35"/>
      <c r="M139" s="58"/>
      <c r="N139" s="58"/>
      <c r="O139" s="58"/>
      <c r="P139" s="1254"/>
      <c r="Q139" s="1254"/>
      <c r="R139" s="1254"/>
      <c r="S139" s="1254"/>
      <c r="T139" s="1254"/>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1019"/>
      <c r="AT139" s="1019"/>
      <c r="AU139" s="1019"/>
      <c r="AV139" s="1019"/>
      <c r="AW139" s="1019"/>
      <c r="AX139" s="1019"/>
      <c r="AY139" s="1019"/>
      <c r="AZ139" s="1019"/>
      <c r="BA139" s="1019"/>
      <c r="BB139" s="1019"/>
      <c r="BC139" s="1019"/>
    </row>
    <row r="140" spans="1:55" s="1" customFormat="1" ht="13.9" customHeight="1">
      <c r="A140" s="37"/>
      <c r="B140" s="35"/>
      <c r="C140" s="35"/>
      <c r="D140" s="1083" t="s">
        <v>203</v>
      </c>
      <c r="E140" s="1083"/>
      <c r="F140" s="1084" t="s">
        <v>204</v>
      </c>
      <c r="G140" s="1084"/>
      <c r="H140" s="1084"/>
      <c r="I140" s="1083" t="s">
        <v>205</v>
      </c>
      <c r="J140" s="1083" t="s">
        <v>205</v>
      </c>
      <c r="K140" s="1083" t="s">
        <v>205</v>
      </c>
      <c r="L140" s="1083" t="s">
        <v>203</v>
      </c>
      <c r="M140" s="3138" t="s">
        <v>2</v>
      </c>
      <c r="N140" s="3138"/>
      <c r="O140" s="35"/>
      <c r="P140" s="258" t="s">
        <v>133</v>
      </c>
      <c r="Q140" s="2620" t="s">
        <v>23</v>
      </c>
      <c r="R140" s="2620" t="s">
        <v>981</v>
      </c>
      <c r="S140" s="3224" t="s">
        <v>1534</v>
      </c>
      <c r="T140" s="3224"/>
      <c r="U140" s="37"/>
      <c r="V140" s="159"/>
      <c r="W140" s="159"/>
      <c r="X140" s="159"/>
      <c r="Y140" s="159"/>
      <c r="Z140" s="35"/>
      <c r="AA140" s="35"/>
      <c r="AB140" s="35"/>
      <c r="AC140" s="36"/>
      <c r="AD140" s="158"/>
      <c r="AE140" s="167"/>
      <c r="AF140" s="167"/>
      <c r="AG140" s="167"/>
      <c r="AH140" s="35"/>
      <c r="AI140" s="35"/>
      <c r="AJ140" s="35"/>
      <c r="AK140" s="35"/>
      <c r="AL140" s="35"/>
      <c r="AM140" s="35"/>
      <c r="AN140" s="35"/>
      <c r="AO140" s="35"/>
      <c r="AP140" s="35"/>
      <c r="AQ140" s="35"/>
      <c r="AR140" s="35"/>
      <c r="AS140" s="1019"/>
      <c r="AT140" s="1019"/>
      <c r="AU140" s="1019"/>
      <c r="AV140" s="1019"/>
      <c r="AW140" s="1019"/>
      <c r="AX140" s="1019"/>
      <c r="AY140" s="1019"/>
      <c r="AZ140" s="1019"/>
      <c r="BA140" s="1019"/>
      <c r="BB140" s="1019"/>
      <c r="BC140" s="1019"/>
    </row>
    <row r="141" spans="1:55" s="1" customFormat="1" ht="13.9" customHeight="1">
      <c r="A141" s="37"/>
      <c r="B141" s="36" t="s">
        <v>240</v>
      </c>
      <c r="C141" s="36"/>
      <c r="D141" s="1083" t="s">
        <v>213</v>
      </c>
      <c r="E141" s="1083"/>
      <c r="F141" s="1084" t="s">
        <v>214</v>
      </c>
      <c r="G141" s="1084"/>
      <c r="H141" s="1084"/>
      <c r="I141" s="1083" t="s">
        <v>270</v>
      </c>
      <c r="J141" s="1085" t="s">
        <v>271</v>
      </c>
      <c r="K141" s="1083" t="s">
        <v>215</v>
      </c>
      <c r="L141" s="1083" t="s">
        <v>272</v>
      </c>
      <c r="M141" s="1086" t="s">
        <v>291</v>
      </c>
      <c r="N141" s="1086" t="s">
        <v>123</v>
      </c>
      <c r="O141" s="35"/>
      <c r="P141" s="261">
        <v>1000</v>
      </c>
      <c r="Q141" s="1517">
        <f>16*R141</f>
        <v>35.273368606701936</v>
      </c>
      <c r="R141" s="1517">
        <f>P141/(1000*0.4536)</f>
        <v>2.204585537918871</v>
      </c>
      <c r="S141" s="3224" t="str">
        <f>INT(Q141/16)&amp;" lb. "&amp;FIXED(Q141-16*INT(Q141/16))</f>
        <v>2 lb. 3.27</v>
      </c>
      <c r="T141" s="3224"/>
      <c r="U141" s="37"/>
      <c r="V141" s="159"/>
      <c r="W141" s="159"/>
      <c r="X141" s="159"/>
      <c r="Y141" s="159"/>
      <c r="Z141" s="35"/>
      <c r="AA141" s="35"/>
      <c r="AB141" s="35"/>
      <c r="AC141" s="36"/>
      <c r="AD141" s="158"/>
      <c r="AE141" s="167"/>
      <c r="AF141" s="167"/>
      <c r="AG141" s="167"/>
      <c r="AH141" s="35"/>
      <c r="AI141" s="35"/>
      <c r="AJ141" s="35"/>
      <c r="AK141" s="35"/>
      <c r="AL141" s="35"/>
      <c r="AM141" s="35"/>
      <c r="AN141" s="35"/>
      <c r="AO141" s="35"/>
      <c r="AP141" s="35"/>
      <c r="AQ141" s="35"/>
      <c r="AR141" s="35"/>
      <c r="AS141" s="1019"/>
      <c r="AT141" s="1019"/>
      <c r="AU141" s="1019"/>
      <c r="AV141" s="1019"/>
      <c r="AW141" s="1019"/>
      <c r="AX141" s="1019"/>
      <c r="AY141" s="1019"/>
      <c r="AZ141" s="1019"/>
      <c r="BA141" s="1019"/>
      <c r="BB141" s="1019"/>
      <c r="BC141" s="1019"/>
    </row>
    <row r="142" spans="1:55" s="1" customFormat="1" ht="13.9" customHeight="1">
      <c r="A142" s="37"/>
      <c r="B142" s="36"/>
      <c r="C142" s="48" t="s">
        <v>273</v>
      </c>
      <c r="D142" s="392">
        <f t="shared" ref="D142:D148" si="56">L142*$D$24/100</f>
        <v>194.25</v>
      </c>
      <c r="E142" s="392"/>
      <c r="F142" s="389">
        <v>0.62</v>
      </c>
      <c r="G142" s="389"/>
      <c r="H142" s="389"/>
      <c r="I142" s="388">
        <f t="shared" ref="I142:I148" si="57">(K142*J142)/100</f>
        <v>908.8</v>
      </c>
      <c r="J142" s="390">
        <v>71</v>
      </c>
      <c r="K142" s="389">
        <v>1280</v>
      </c>
      <c r="L142" s="389">
        <v>259</v>
      </c>
      <c r="M142" s="1087">
        <v>13</v>
      </c>
      <c r="N142" s="1087">
        <v>15</v>
      </c>
      <c r="O142" s="35"/>
      <c r="P142" s="29"/>
      <c r="Q142" s="29"/>
      <c r="R142" s="29"/>
      <c r="S142" s="29"/>
      <c r="T142" s="29"/>
      <c r="U142" s="37"/>
      <c r="V142" s="159"/>
      <c r="W142" s="159"/>
      <c r="X142" s="159"/>
      <c r="Y142" s="159"/>
      <c r="Z142" s="35"/>
      <c r="AA142" s="35"/>
      <c r="AB142" s="35"/>
      <c r="AC142" s="36"/>
      <c r="AD142" s="35"/>
      <c r="AE142" s="167"/>
      <c r="AF142" s="167"/>
      <c r="AG142" s="167"/>
      <c r="AH142" s="35"/>
      <c r="AI142" s="35"/>
      <c r="AJ142" s="35"/>
      <c r="AK142" s="167"/>
      <c r="AL142" s="167"/>
      <c r="AM142" s="167"/>
      <c r="AN142" s="167"/>
      <c r="AO142" s="167"/>
      <c r="AP142" s="167"/>
      <c r="AQ142" s="167"/>
      <c r="AR142" s="35"/>
      <c r="AS142" s="1019"/>
      <c r="AT142" s="1019"/>
      <c r="AU142" s="1019"/>
      <c r="AV142" s="1019"/>
      <c r="AW142" s="1019"/>
      <c r="AX142" s="1019"/>
      <c r="AY142" s="1019"/>
      <c r="AZ142" s="1019"/>
      <c r="BA142" s="1019"/>
      <c r="BB142" s="1019"/>
      <c r="BC142" s="1019"/>
    </row>
    <row r="143" spans="1:55" s="1" customFormat="1" ht="13.9" customHeight="1">
      <c r="A143" s="37"/>
      <c r="B143" s="36"/>
      <c r="C143" s="48" t="s">
        <v>274</v>
      </c>
      <c r="D143" s="392">
        <f t="shared" si="56"/>
        <v>213.75</v>
      </c>
      <c r="E143" s="392"/>
      <c r="F143" s="389">
        <v>0.62</v>
      </c>
      <c r="G143" s="389"/>
      <c r="H143" s="389"/>
      <c r="I143" s="388">
        <f t="shared" si="57"/>
        <v>763.2</v>
      </c>
      <c r="J143" s="390">
        <v>72</v>
      </c>
      <c r="K143" s="389">
        <v>1060</v>
      </c>
      <c r="L143" s="389">
        <v>285</v>
      </c>
      <c r="M143" s="1087">
        <v>7</v>
      </c>
      <c r="N143" s="1087">
        <v>8</v>
      </c>
      <c r="O143" s="35"/>
      <c r="P143" s="1513" t="s">
        <v>1533</v>
      </c>
      <c r="Q143" s="1254"/>
      <c r="R143" s="1254"/>
      <c r="S143" s="1254"/>
      <c r="T143" s="29"/>
      <c r="U143" s="37"/>
      <c r="V143" s="159"/>
      <c r="W143" s="159"/>
      <c r="X143" s="159"/>
      <c r="Y143" s="159"/>
      <c r="Z143" s="35"/>
      <c r="AA143" s="35"/>
      <c r="AB143" s="35"/>
      <c r="AC143" s="36"/>
      <c r="AD143" s="158"/>
      <c r="AE143" s="167"/>
      <c r="AF143" s="167"/>
      <c r="AG143" s="167"/>
      <c r="AH143" s="35"/>
      <c r="AI143" s="35"/>
      <c r="AJ143" s="35"/>
      <c r="AK143" s="167"/>
      <c r="AL143" s="167"/>
      <c r="AM143" s="167"/>
      <c r="AN143" s="167"/>
      <c r="AO143" s="167"/>
      <c r="AP143" s="167"/>
      <c r="AQ143" s="167"/>
      <c r="AR143" s="35"/>
      <c r="AS143" s="1019"/>
      <c r="AT143" s="1019"/>
      <c r="AU143" s="1019"/>
      <c r="AV143" s="1019"/>
      <c r="AW143" s="1019"/>
      <c r="AX143" s="1019"/>
      <c r="AY143" s="1019"/>
      <c r="AZ143" s="1019"/>
      <c r="BA143" s="1019"/>
      <c r="BB143" s="1019"/>
      <c r="BC143" s="1019"/>
    </row>
    <row r="144" spans="1:55" s="1" customFormat="1" ht="13.9" customHeight="1">
      <c r="A144" s="37"/>
      <c r="B144" s="36"/>
      <c r="C144" s="48" t="s">
        <v>275</v>
      </c>
      <c r="D144" s="392">
        <f t="shared" si="56"/>
        <v>212.25</v>
      </c>
      <c r="E144" s="392"/>
      <c r="F144" s="389">
        <v>0.62</v>
      </c>
      <c r="G144" s="389"/>
      <c r="H144" s="389"/>
      <c r="I144" s="388">
        <f t="shared" si="57"/>
        <v>77.7</v>
      </c>
      <c r="J144" s="390">
        <v>74</v>
      </c>
      <c r="K144" s="389">
        <v>105</v>
      </c>
      <c r="L144" s="389">
        <v>283</v>
      </c>
      <c r="M144" s="1087">
        <v>26</v>
      </c>
      <c r="N144" s="1087">
        <v>29</v>
      </c>
      <c r="O144" s="35"/>
      <c r="P144" s="2499" t="s">
        <v>181</v>
      </c>
      <c r="Q144" s="2619" t="s">
        <v>1668</v>
      </c>
      <c r="R144" s="2619" t="s">
        <v>1667</v>
      </c>
      <c r="S144" s="2619" t="s">
        <v>1669</v>
      </c>
      <c r="T144" s="3225" t="s">
        <v>1670</v>
      </c>
      <c r="U144" s="3225"/>
      <c r="V144" s="3225"/>
      <c r="W144" s="159"/>
      <c r="X144" s="159"/>
      <c r="Y144" s="159"/>
      <c r="Z144" s="35"/>
      <c r="AA144" s="35"/>
      <c r="AB144" s="35"/>
      <c r="AC144" s="36"/>
      <c r="AD144" s="158"/>
      <c r="AE144" s="167"/>
      <c r="AF144" s="167"/>
      <c r="AG144" s="167"/>
      <c r="AH144" s="35"/>
      <c r="AI144" s="35"/>
      <c r="AJ144" s="35"/>
      <c r="AK144" s="35"/>
      <c r="AL144" s="35"/>
      <c r="AM144" s="35"/>
      <c r="AN144" s="35"/>
      <c r="AO144" s="35"/>
      <c r="AP144" s="35"/>
      <c r="AQ144" s="35"/>
      <c r="AR144" s="35"/>
      <c r="AS144" s="1019"/>
      <c r="AT144" s="1019"/>
      <c r="AU144" s="1019"/>
      <c r="AV144" s="1019"/>
      <c r="AW144" s="1019"/>
      <c r="AX144" s="1019"/>
      <c r="AY144" s="1019"/>
      <c r="AZ144" s="1019"/>
      <c r="BA144" s="1019"/>
      <c r="BB144" s="1019"/>
      <c r="BC144" s="1019"/>
    </row>
    <row r="145" spans="1:55" s="1" customFormat="1" ht="13.9" customHeight="1">
      <c r="A145" s="37"/>
      <c r="B145" s="36"/>
      <c r="C145" s="48" t="s">
        <v>277</v>
      </c>
      <c r="D145" s="392">
        <f t="shared" si="56"/>
        <v>204</v>
      </c>
      <c r="E145" s="392"/>
      <c r="F145" s="389">
        <v>0.62</v>
      </c>
      <c r="G145" s="389"/>
      <c r="H145" s="389"/>
      <c r="I145" s="388">
        <f t="shared" si="57"/>
        <v>103.6</v>
      </c>
      <c r="J145" s="390">
        <v>74</v>
      </c>
      <c r="K145" s="389">
        <v>140</v>
      </c>
      <c r="L145" s="389">
        <v>272</v>
      </c>
      <c r="M145" s="1087">
        <v>26</v>
      </c>
      <c r="N145" s="1087">
        <v>29</v>
      </c>
      <c r="O145" s="35"/>
      <c r="P145" s="1520">
        <v>15</v>
      </c>
      <c r="Q145" s="1521">
        <f>S145*(5/6)</f>
        <v>3.3021609341152853</v>
      </c>
      <c r="R145" s="1526">
        <f>Q145*8</f>
        <v>26.417287472922283</v>
      </c>
      <c r="S145" s="1521">
        <f>P145/3.7854</f>
        <v>3.962593120938342</v>
      </c>
      <c r="T145" s="3226">
        <f>S145*8</f>
        <v>31.700744967506736</v>
      </c>
      <c r="U145" s="3226"/>
      <c r="V145" s="3226"/>
      <c r="W145" s="159"/>
      <c r="X145" s="159"/>
      <c r="Y145" s="159"/>
      <c r="Z145" s="35"/>
      <c r="AA145" s="35"/>
      <c r="AB145" s="35"/>
      <c r="AC145" s="36"/>
      <c r="AD145" s="158"/>
      <c r="AE145" s="167"/>
      <c r="AF145" s="167"/>
      <c r="AG145" s="167"/>
      <c r="AH145" s="35"/>
      <c r="AI145" s="35"/>
      <c r="AJ145" s="35"/>
      <c r="AK145" s="35"/>
      <c r="AL145" s="35"/>
      <c r="AM145" s="35"/>
      <c r="AN145" s="35"/>
      <c r="AO145" s="35"/>
      <c r="AP145" s="35"/>
      <c r="AQ145" s="35"/>
      <c r="AR145" s="35"/>
      <c r="AS145" s="1019"/>
      <c r="AT145" s="1019"/>
      <c r="AU145" s="1019"/>
      <c r="AV145" s="1019"/>
      <c r="AW145" s="1019"/>
      <c r="AX145" s="1019"/>
      <c r="AY145" s="1019"/>
      <c r="AZ145" s="1019"/>
      <c r="BA145" s="1019"/>
      <c r="BB145" s="1019"/>
      <c r="BC145" s="1019"/>
    </row>
    <row r="146" spans="1:55" s="1" customFormat="1" ht="13.9" customHeight="1">
      <c r="A146" s="37"/>
      <c r="B146" s="36"/>
      <c r="C146" s="48" t="s">
        <v>278</v>
      </c>
      <c r="D146" s="392">
        <f t="shared" si="56"/>
        <v>203.25</v>
      </c>
      <c r="E146" s="392"/>
      <c r="F146" s="389">
        <v>0.62</v>
      </c>
      <c r="G146" s="389"/>
      <c r="H146" s="389"/>
      <c r="I146" s="388">
        <f t="shared" si="57"/>
        <v>148</v>
      </c>
      <c r="J146" s="390">
        <v>74</v>
      </c>
      <c r="K146" s="389">
        <v>200</v>
      </c>
      <c r="L146" s="389">
        <v>271</v>
      </c>
      <c r="M146" s="1087">
        <v>26</v>
      </c>
      <c r="N146" s="1087">
        <v>29</v>
      </c>
      <c r="O146" s="35"/>
      <c r="P146" s="35"/>
      <c r="Q146" s="347"/>
      <c r="R146" s="347"/>
      <c r="S146" s="347"/>
      <c r="T146" s="347"/>
      <c r="U146" s="347"/>
      <c r="V146" s="347"/>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1019"/>
      <c r="AT146" s="1019"/>
      <c r="AU146" s="1019"/>
      <c r="AV146" s="1019"/>
      <c r="AW146" s="1019"/>
      <c r="AX146" s="1019"/>
      <c r="AY146" s="1019"/>
      <c r="AZ146" s="1019"/>
      <c r="BA146" s="1019"/>
      <c r="BB146" s="1019"/>
      <c r="BC146" s="1019"/>
    </row>
    <row r="147" spans="1:55" s="1" customFormat="1" ht="13.9" customHeight="1">
      <c r="A147" s="37"/>
      <c r="B147" s="36"/>
      <c r="C147" s="48" t="s">
        <v>279</v>
      </c>
      <c r="D147" s="392">
        <f t="shared" si="56"/>
        <v>207</v>
      </c>
      <c r="E147" s="392"/>
      <c r="F147" s="389">
        <v>0.62</v>
      </c>
      <c r="G147" s="389"/>
      <c r="H147" s="389"/>
      <c r="I147" s="388">
        <f t="shared" si="57"/>
        <v>902.8</v>
      </c>
      <c r="J147" s="390">
        <v>74</v>
      </c>
      <c r="K147" s="389">
        <v>1220</v>
      </c>
      <c r="L147" s="389">
        <v>276</v>
      </c>
      <c r="M147" s="1087">
        <v>13</v>
      </c>
      <c r="N147" s="1087">
        <v>15</v>
      </c>
      <c r="O147" s="35"/>
      <c r="P147" s="258" t="s">
        <v>379</v>
      </c>
      <c r="Q147" s="258" t="s">
        <v>1665</v>
      </c>
      <c r="R147" s="258" t="s">
        <v>181</v>
      </c>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1019"/>
      <c r="AT147" s="1019"/>
      <c r="AU147" s="1019"/>
      <c r="AV147" s="1019"/>
      <c r="AW147" s="1019"/>
      <c r="AX147" s="1019"/>
      <c r="AY147" s="1019"/>
      <c r="AZ147" s="1019"/>
      <c r="BA147" s="1019"/>
      <c r="BB147" s="1019"/>
      <c r="BC147" s="1019"/>
    </row>
    <row r="148" spans="1:55" s="1" customFormat="1" ht="13.9" customHeight="1">
      <c r="A148" s="37"/>
      <c r="B148" s="36"/>
      <c r="C148" s="17" t="s">
        <v>148</v>
      </c>
      <c r="D148" s="392">
        <f t="shared" si="56"/>
        <v>0</v>
      </c>
      <c r="E148" s="392"/>
      <c r="F148" s="389"/>
      <c r="G148" s="389"/>
      <c r="H148" s="389"/>
      <c r="I148" s="388">
        <f t="shared" si="57"/>
        <v>0</v>
      </c>
      <c r="J148" s="390"/>
      <c r="K148" s="389"/>
      <c r="L148" s="389"/>
      <c r="M148" s="1088"/>
      <c r="N148" s="1088"/>
      <c r="O148" s="35"/>
      <c r="P148" s="261">
        <v>40</v>
      </c>
      <c r="Q148" s="260">
        <f>P148*(6/5)</f>
        <v>48</v>
      </c>
      <c r="R148" s="260">
        <f>3.7854*Q148/8</f>
        <v>22.712400000000002</v>
      </c>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1019"/>
      <c r="AT148" s="1019"/>
      <c r="AU148" s="1019"/>
      <c r="AV148" s="1019"/>
      <c r="AW148" s="1019"/>
      <c r="AX148" s="1019"/>
      <c r="AY148" s="1019"/>
      <c r="AZ148" s="1019"/>
      <c r="BA148" s="1019"/>
      <c r="BB148" s="1019"/>
      <c r="BC148" s="1019"/>
    </row>
    <row r="149" spans="1:55" s="1" customFormat="1" ht="13.9" customHeight="1">
      <c r="A149" s="37"/>
      <c r="B149" s="36"/>
      <c r="C149" s="35"/>
      <c r="D149" s="167"/>
      <c r="E149" s="167"/>
      <c r="F149" s="167"/>
      <c r="G149" s="167"/>
      <c r="H149" s="167"/>
      <c r="I149" s="167"/>
      <c r="J149" s="167"/>
      <c r="K149" s="35"/>
      <c r="L149" s="35"/>
      <c r="M149" s="35"/>
      <c r="N149" s="35"/>
      <c r="O149" s="35"/>
      <c r="P149" s="1254"/>
      <c r="Q149" s="29"/>
      <c r="R149" s="1254"/>
      <c r="S149" s="1254"/>
      <c r="T149" s="29"/>
      <c r="U149" s="164"/>
      <c r="V149" s="159"/>
      <c r="W149" s="159"/>
      <c r="X149" s="159"/>
      <c r="Y149" s="159"/>
      <c r="Z149" s="37"/>
      <c r="AA149" s="37"/>
      <c r="AB149" s="37"/>
      <c r="AC149" s="37"/>
      <c r="AD149" s="37"/>
      <c r="AE149" s="37"/>
      <c r="AF149" s="37"/>
      <c r="AG149" s="37"/>
      <c r="AH149" s="37"/>
      <c r="AI149" s="37"/>
      <c r="AJ149" s="37"/>
      <c r="AK149" s="37"/>
      <c r="AL149" s="37"/>
      <c r="AM149" s="37"/>
      <c r="AN149" s="37"/>
      <c r="AO149" s="37"/>
      <c r="AP149" s="37"/>
      <c r="AQ149" s="37"/>
      <c r="AR149" s="37"/>
      <c r="AS149" s="1019"/>
      <c r="AT149" s="1019"/>
      <c r="AU149" s="1019"/>
      <c r="AV149" s="1019"/>
      <c r="AW149" s="1019"/>
      <c r="AX149" s="1019"/>
      <c r="AY149" s="1019"/>
      <c r="AZ149" s="1019"/>
      <c r="BA149" s="1019"/>
      <c r="BB149" s="1019"/>
      <c r="BC149" s="1019"/>
    </row>
    <row r="150" spans="1:55" s="1" customFormat="1" ht="13.9" customHeight="1">
      <c r="A150" s="37"/>
      <c r="B150" s="36" t="s">
        <v>210</v>
      </c>
      <c r="C150" s="158"/>
      <c r="D150" s="167"/>
      <c r="E150" s="167"/>
      <c r="F150" s="167"/>
      <c r="G150" s="167"/>
      <c r="H150" s="167"/>
      <c r="I150" s="167"/>
      <c r="J150" s="76"/>
      <c r="K150" s="76"/>
      <c r="L150" s="76"/>
      <c r="M150" s="76"/>
      <c r="N150" s="76"/>
      <c r="O150" s="35"/>
      <c r="P150" s="258" t="s">
        <v>1665</v>
      </c>
      <c r="Q150" s="258" t="s">
        <v>1666</v>
      </c>
      <c r="R150" s="258" t="s">
        <v>181</v>
      </c>
      <c r="S150" s="1254"/>
      <c r="T150" s="29"/>
      <c r="U150" s="164"/>
      <c r="V150" s="159"/>
      <c r="W150" s="159"/>
      <c r="X150" s="159"/>
      <c r="Y150" s="159"/>
      <c r="Z150" s="37"/>
      <c r="AA150" s="37"/>
      <c r="AB150" s="37"/>
      <c r="AC150" s="37"/>
      <c r="AD150" s="37"/>
      <c r="AE150" s="37"/>
      <c r="AF150" s="37"/>
      <c r="AG150" s="37"/>
      <c r="AH150" s="37"/>
      <c r="AI150" s="37"/>
      <c r="AJ150" s="37"/>
      <c r="AK150" s="37"/>
      <c r="AL150" s="37"/>
      <c r="AM150" s="37"/>
      <c r="AN150" s="37"/>
      <c r="AO150" s="37"/>
      <c r="AP150" s="37"/>
      <c r="AQ150" s="37"/>
      <c r="AR150" s="37"/>
      <c r="AS150" s="1019"/>
      <c r="AT150" s="1019"/>
      <c r="AU150" s="1019"/>
      <c r="AV150" s="1019"/>
      <c r="AW150" s="1019"/>
      <c r="AX150" s="1019"/>
      <c r="AY150" s="1019"/>
      <c r="AZ150" s="1019"/>
      <c r="BA150" s="1019"/>
      <c r="BB150" s="1019"/>
      <c r="BC150" s="1019"/>
    </row>
    <row r="151" spans="1:55" s="1" customFormat="1" ht="13.9" customHeight="1">
      <c r="A151" s="37"/>
      <c r="B151" s="157"/>
      <c r="C151" s="10" t="s">
        <v>280</v>
      </c>
      <c r="D151" s="388">
        <v>375</v>
      </c>
      <c r="E151" s="388"/>
      <c r="F151" s="389">
        <v>1</v>
      </c>
      <c r="G151" s="389"/>
      <c r="H151" s="389"/>
      <c r="I151" s="389"/>
      <c r="J151" s="76"/>
      <c r="K151" s="76"/>
      <c r="L151" s="76"/>
      <c r="M151" s="76"/>
      <c r="N151" s="76"/>
      <c r="O151" s="35"/>
      <c r="P151" s="261">
        <v>48</v>
      </c>
      <c r="Q151" s="260">
        <f>P151*(5/6)</f>
        <v>40</v>
      </c>
      <c r="R151" s="260">
        <f>3.7854*P151/8</f>
        <v>22.712400000000002</v>
      </c>
      <c r="S151" s="1254"/>
      <c r="T151" s="29"/>
      <c r="U151" s="1089"/>
      <c r="V151" s="159"/>
      <c r="W151" s="159"/>
      <c r="X151" s="159"/>
      <c r="Y151" s="159"/>
      <c r="Z151" s="37"/>
      <c r="AA151" s="37"/>
      <c r="AB151" s="37"/>
      <c r="AC151" s="37"/>
      <c r="AD151" s="37"/>
      <c r="AE151" s="37"/>
      <c r="AF151" s="37"/>
      <c r="AG151" s="37"/>
      <c r="AH151" s="37"/>
      <c r="AI151" s="37"/>
      <c r="AJ151" s="37"/>
      <c r="AK151" s="37"/>
      <c r="AL151" s="37"/>
      <c r="AM151" s="37"/>
      <c r="AN151" s="37"/>
      <c r="AO151" s="37"/>
      <c r="AP151" s="37"/>
      <c r="AQ151" s="37"/>
      <c r="AR151" s="37"/>
      <c r="AS151" s="1019"/>
      <c r="AT151" s="1019"/>
      <c r="AU151" s="1019"/>
      <c r="AV151" s="1019"/>
      <c r="AW151" s="1019"/>
      <c r="AX151" s="1019"/>
      <c r="AY151" s="1019"/>
      <c r="AZ151" s="1019"/>
      <c r="BA151" s="1019"/>
      <c r="BB151" s="1019"/>
      <c r="BC151" s="1019"/>
    </row>
    <row r="152" spans="1:55" ht="13.9" customHeight="1">
      <c r="A152" s="76"/>
      <c r="B152" s="157"/>
      <c r="C152" s="48" t="s">
        <v>281</v>
      </c>
      <c r="D152" s="388">
        <v>370</v>
      </c>
      <c r="E152" s="388"/>
      <c r="F152" s="389">
        <v>1</v>
      </c>
      <c r="G152" s="389"/>
      <c r="H152" s="389"/>
      <c r="I152" s="389">
        <v>16</v>
      </c>
      <c r="J152" s="76"/>
      <c r="K152" s="76"/>
      <c r="L152" s="76"/>
      <c r="M152" s="76"/>
      <c r="N152" s="76"/>
      <c r="O152" s="35"/>
      <c r="P152" s="35"/>
      <c r="Q152" s="35"/>
      <c r="R152" s="35"/>
      <c r="S152" s="1254"/>
      <c r="T152" s="29"/>
      <c r="U152" s="159"/>
      <c r="V152" s="159"/>
      <c r="W152" s="159"/>
      <c r="X152" s="159"/>
      <c r="Y152" s="159"/>
      <c r="Z152" s="76"/>
      <c r="AA152" s="76"/>
      <c r="AB152" s="76"/>
      <c r="AC152" s="76"/>
      <c r="AD152" s="76"/>
      <c r="AE152" s="76"/>
      <c r="AF152" s="76"/>
      <c r="AG152" s="76"/>
      <c r="AH152" s="76"/>
      <c r="AI152" s="76"/>
      <c r="AJ152" s="76"/>
      <c r="AK152" s="76"/>
      <c r="AL152" s="76"/>
      <c r="AM152" s="76"/>
      <c r="AN152" s="76"/>
      <c r="AO152" s="76"/>
      <c r="AP152" s="76"/>
      <c r="AQ152" s="76"/>
      <c r="AR152" s="76"/>
      <c r="AS152" s="2625"/>
      <c r="AT152" s="2625"/>
      <c r="AU152" s="2625"/>
      <c r="AV152" s="2625"/>
      <c r="AW152" s="2460"/>
      <c r="AX152" s="2460"/>
      <c r="AY152" s="2460"/>
      <c r="AZ152" s="2460"/>
      <c r="BA152" s="2460"/>
      <c r="BB152" s="2460"/>
    </row>
    <row r="153" spans="1:55" ht="15" customHeight="1">
      <c r="A153" s="76"/>
      <c r="B153" s="157"/>
      <c r="C153" s="10" t="s">
        <v>282</v>
      </c>
      <c r="D153" s="388">
        <v>319</v>
      </c>
      <c r="E153" s="388"/>
      <c r="F153" s="389">
        <v>0.85</v>
      </c>
      <c r="G153" s="389"/>
      <c r="H153" s="389"/>
      <c r="I153" s="389"/>
      <c r="J153" s="76"/>
      <c r="K153" s="76"/>
      <c r="L153" s="76"/>
      <c r="M153" s="3227" t="s">
        <v>427</v>
      </c>
      <c r="N153" s="3227"/>
      <c r="O153" s="3227"/>
      <c r="P153" s="1950"/>
      <c r="Q153" s="1254"/>
      <c r="R153" s="1254"/>
      <c r="S153" s="1254"/>
      <c r="T153" s="29"/>
      <c r="U153" s="588"/>
      <c r="V153" s="588"/>
      <c r="W153" s="1222"/>
      <c r="X153" s="1090"/>
      <c r="Y153" s="159"/>
      <c r="Z153" s="76"/>
      <c r="AA153" s="76"/>
      <c r="AB153" s="76"/>
      <c r="AC153" s="76"/>
      <c r="AD153" s="76"/>
      <c r="AE153" s="76"/>
      <c r="AF153" s="76"/>
      <c r="AG153" s="76"/>
      <c r="AH153" s="76"/>
      <c r="AI153" s="76"/>
      <c r="AJ153" s="76"/>
      <c r="AK153" s="76"/>
      <c r="AL153" s="76"/>
      <c r="AM153" s="76"/>
      <c r="AN153" s="76"/>
      <c r="AO153" s="76"/>
      <c r="AP153" s="76"/>
      <c r="AQ153" s="76"/>
      <c r="AR153" s="76"/>
      <c r="AS153" s="2625"/>
      <c r="AT153" s="2625"/>
      <c r="AU153" s="2625"/>
      <c r="AV153" s="2625"/>
      <c r="AW153" s="2460"/>
      <c r="AX153" s="2460"/>
      <c r="AY153" s="2460"/>
      <c r="AZ153" s="2460"/>
      <c r="BA153" s="2460"/>
      <c r="BB153" s="2460"/>
    </row>
    <row r="154" spans="1:55" ht="15" customHeight="1">
      <c r="A154" s="76"/>
      <c r="B154" s="167"/>
      <c r="C154" s="51" t="s">
        <v>283</v>
      </c>
      <c r="D154" s="388">
        <v>380</v>
      </c>
      <c r="E154" s="388"/>
      <c r="F154" s="389">
        <v>0</v>
      </c>
      <c r="G154" s="389"/>
      <c r="H154" s="389"/>
      <c r="I154" s="389">
        <v>30</v>
      </c>
      <c r="J154" s="76"/>
      <c r="K154" s="76"/>
      <c r="L154" s="76"/>
      <c r="M154" s="3218" t="s">
        <v>604</v>
      </c>
      <c r="N154" s="3218"/>
      <c r="O154" s="3218"/>
      <c r="P154" s="159"/>
      <c r="Q154" s="76"/>
      <c r="R154" s="76"/>
      <c r="S154" s="76"/>
      <c r="T154" s="76"/>
      <c r="U154" s="159"/>
      <c r="V154" s="159"/>
      <c r="W154" s="588"/>
      <c r="X154" s="159"/>
      <c r="Y154" s="159"/>
      <c r="Z154" s="76"/>
      <c r="AA154" s="76"/>
      <c r="AB154" s="76"/>
      <c r="AC154" s="76"/>
      <c r="AD154" s="76"/>
      <c r="AE154" s="76"/>
      <c r="AF154" s="76"/>
      <c r="AG154" s="76"/>
      <c r="AH154" s="76"/>
      <c r="AI154" s="76"/>
      <c r="AJ154" s="76"/>
      <c r="AK154" s="76"/>
      <c r="AL154" s="76"/>
      <c r="AM154" s="76"/>
      <c r="AN154" s="76"/>
      <c r="AO154" s="76"/>
      <c r="AP154" s="76"/>
      <c r="AQ154" s="76"/>
      <c r="AR154" s="76"/>
      <c r="AS154" s="2625"/>
      <c r="AT154" s="2625"/>
      <c r="AU154" s="2625"/>
      <c r="AV154" s="2625"/>
      <c r="AW154" s="2460"/>
      <c r="AX154" s="2460"/>
      <c r="AY154" s="2460"/>
      <c r="AZ154" s="2460"/>
      <c r="BA154" s="2460"/>
      <c r="BB154" s="2460"/>
    </row>
    <row r="155" spans="1:55">
      <c r="A155" s="76"/>
      <c r="B155" s="167"/>
      <c r="C155" s="17" t="s">
        <v>377</v>
      </c>
      <c r="D155" s="388">
        <f>0.8*375</f>
        <v>300</v>
      </c>
      <c r="E155" s="388"/>
      <c r="F155" s="389">
        <v>0.95</v>
      </c>
      <c r="G155" s="389"/>
      <c r="H155" s="389"/>
      <c r="I155" s="388">
        <v>10</v>
      </c>
      <c r="J155" s="76"/>
      <c r="K155" s="76"/>
      <c r="L155" s="76"/>
      <c r="M155" s="1527">
        <v>1</v>
      </c>
      <c r="N155" s="3219" t="s">
        <v>605</v>
      </c>
      <c r="O155" s="3219"/>
      <c r="P155" s="1527">
        <v>1</v>
      </c>
      <c r="Q155" s="3219" t="s">
        <v>1515</v>
      </c>
      <c r="R155" s="3219"/>
      <c r="S155" s="1527">
        <v>69</v>
      </c>
      <c r="T155" s="3220" t="s">
        <v>216</v>
      </c>
      <c r="U155" s="3220"/>
      <c r="V155" s="3220"/>
      <c r="W155" s="159"/>
      <c r="X155" s="159"/>
      <c r="Y155" s="159"/>
      <c r="Z155" s="168"/>
      <c r="AA155" s="168"/>
      <c r="AB155" s="168"/>
      <c r="AC155" s="168"/>
      <c r="AD155" s="168"/>
      <c r="AE155" s="168"/>
      <c r="AF155" s="168"/>
      <c r="AG155" s="168"/>
      <c r="AH155" s="169" t="s">
        <v>191</v>
      </c>
      <c r="AI155" s="68"/>
      <c r="AJ155" s="169" t="s">
        <v>192</v>
      </c>
      <c r="AK155" s="169" t="s">
        <v>192</v>
      </c>
      <c r="AL155" s="169" t="s">
        <v>192</v>
      </c>
      <c r="AM155" s="169" t="s">
        <v>192</v>
      </c>
      <c r="AN155" s="169" t="s">
        <v>192</v>
      </c>
      <c r="AO155" s="169" t="s">
        <v>192</v>
      </c>
      <c r="AP155" s="169" t="s">
        <v>192</v>
      </c>
      <c r="AQ155" s="169" t="s">
        <v>192</v>
      </c>
      <c r="AR155" s="169" t="s">
        <v>192</v>
      </c>
      <c r="AS155" s="2533"/>
      <c r="AT155" s="2460"/>
      <c r="AU155" s="2460"/>
      <c r="AV155" s="2460"/>
      <c r="AW155" s="2460"/>
      <c r="AX155" s="2460"/>
      <c r="AY155" s="2460"/>
      <c r="AZ155" s="2460"/>
      <c r="BA155" s="2460"/>
      <c r="BB155" s="2460"/>
    </row>
    <row r="156" spans="1:55">
      <c r="A156" s="76"/>
      <c r="B156" s="76"/>
      <c r="C156" s="76"/>
      <c r="D156" s="76"/>
      <c r="E156" s="76"/>
      <c r="F156" s="76"/>
      <c r="G156" s="76"/>
      <c r="H156" s="76"/>
      <c r="I156" s="76"/>
      <c r="J156" s="76"/>
      <c r="K156" s="76"/>
      <c r="L156" s="76"/>
      <c r="M156" s="3221" t="s">
        <v>835</v>
      </c>
      <c r="N156" s="3221"/>
      <c r="O156" s="3221"/>
      <c r="P156" s="3221"/>
      <c r="Q156" s="3221"/>
      <c r="R156" s="3221"/>
      <c r="S156" s="3221"/>
      <c r="T156" s="3221"/>
      <c r="U156" s="3221"/>
      <c r="V156" s="3221"/>
      <c r="W156" s="159"/>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2533"/>
      <c r="AT156" s="2460"/>
      <c r="AU156" s="2460"/>
      <c r="AV156" s="2460"/>
      <c r="AW156" s="2460"/>
      <c r="AX156" s="2460"/>
      <c r="AY156" s="2460"/>
      <c r="AZ156" s="2460"/>
      <c r="BA156" s="2460"/>
      <c r="BB156" s="2460"/>
    </row>
    <row r="157" spans="1:55" ht="15" customHeight="1">
      <c r="A157" s="76"/>
      <c r="B157" s="76"/>
      <c r="C157" s="76"/>
      <c r="D157" s="76"/>
      <c r="E157" s="76"/>
      <c r="F157" s="76"/>
      <c r="G157" s="76"/>
      <c r="H157" s="76"/>
      <c r="I157" s="76"/>
      <c r="J157" s="76"/>
      <c r="K157" s="76"/>
      <c r="L157" s="76"/>
      <c r="M157" s="76"/>
      <c r="N157" s="76"/>
      <c r="O157" s="35"/>
      <c r="P157" s="35"/>
      <c r="Q157" s="35"/>
      <c r="R157" s="35"/>
      <c r="S157" s="1254"/>
      <c r="T157" s="29"/>
      <c r="U157" s="1222"/>
      <c r="V157" s="1222"/>
      <c r="W157" s="159"/>
      <c r="X157" s="2533"/>
      <c r="Y157" s="2533"/>
      <c r="Z157" s="2533"/>
      <c r="AA157" s="2533"/>
      <c r="AB157" s="2533"/>
      <c r="AC157" s="2533"/>
      <c r="AD157" s="2533"/>
      <c r="AE157" s="2533"/>
      <c r="AF157" s="2533"/>
      <c r="AG157" s="2533"/>
      <c r="AH157" s="2533"/>
      <c r="AI157" s="2533"/>
      <c r="AJ157" s="2533"/>
      <c r="AK157" s="2533"/>
      <c r="AL157" s="2533"/>
      <c r="AM157" s="2533"/>
      <c r="AN157" s="2533"/>
      <c r="AO157" s="2533"/>
      <c r="AP157" s="2533"/>
      <c r="AQ157" s="2533"/>
      <c r="AR157" s="2533"/>
      <c r="AS157" s="2533"/>
      <c r="AT157" s="2460"/>
      <c r="AU157" s="2460"/>
      <c r="AV157" s="2460"/>
      <c r="AW157" s="2460"/>
      <c r="AX157" s="2460"/>
      <c r="AY157" s="2460"/>
      <c r="AZ157" s="2460"/>
      <c r="BA157" s="2460"/>
      <c r="BB157" s="2460"/>
    </row>
  </sheetData>
  <sheetProtection password="FA80" sheet="1" objects="1" scenarios="1"/>
  <mergeCells count="248">
    <mergeCell ref="AW24:AX24"/>
    <mergeCell ref="AW4:AX4"/>
    <mergeCell ref="AW5:AX5"/>
    <mergeCell ref="AW12:AX12"/>
    <mergeCell ref="AW13:AX13"/>
    <mergeCell ref="AW6:AX6"/>
    <mergeCell ref="AW7:AX7"/>
    <mergeCell ref="AW8:AX8"/>
    <mergeCell ref="AW9:AX9"/>
    <mergeCell ref="AW10:AX10"/>
    <mergeCell ref="AW14:AX14"/>
    <mergeCell ref="X2:AR2"/>
    <mergeCell ref="B4:D4"/>
    <mergeCell ref="E4:I4"/>
    <mergeCell ref="K4:U4"/>
    <mergeCell ref="B5:C5"/>
    <mergeCell ref="E5:H5"/>
    <mergeCell ref="K5:U5"/>
    <mergeCell ref="A1:C1"/>
    <mergeCell ref="I1:M1"/>
    <mergeCell ref="S1:V1"/>
    <mergeCell ref="R2:V2"/>
    <mergeCell ref="Q6:R6"/>
    <mergeCell ref="S6:U6"/>
    <mergeCell ref="E12:I12"/>
    <mergeCell ref="K12:N12"/>
    <mergeCell ref="B8:C8"/>
    <mergeCell ref="E8:H8"/>
    <mergeCell ref="K8:N8"/>
    <mergeCell ref="B6:C6"/>
    <mergeCell ref="E6:H6"/>
    <mergeCell ref="K6:M6"/>
    <mergeCell ref="N6:P6"/>
    <mergeCell ref="P22:Q22"/>
    <mergeCell ref="B7:C7"/>
    <mergeCell ref="E7:H7"/>
    <mergeCell ref="K7:N7"/>
    <mergeCell ref="T7:U7"/>
    <mergeCell ref="E23:H23"/>
    <mergeCell ref="N23:P23"/>
    <mergeCell ref="E24:I24"/>
    <mergeCell ref="E25:I25"/>
    <mergeCell ref="E13:I13"/>
    <mergeCell ref="K13:N13"/>
    <mergeCell ref="F20:J20"/>
    <mergeCell ref="B22:D22"/>
    <mergeCell ref="E22:J22"/>
    <mergeCell ref="B9:C9"/>
    <mergeCell ref="E9:H9"/>
    <mergeCell ref="K9:N9"/>
    <mergeCell ref="E10:I10"/>
    <mergeCell ref="K10:N10"/>
    <mergeCell ref="B11:C11"/>
    <mergeCell ref="E11:I11"/>
    <mergeCell ref="J11:J12"/>
    <mergeCell ref="K11:N11"/>
    <mergeCell ref="B12:C12"/>
    <mergeCell ref="B27:J28"/>
    <mergeCell ref="K27:P27"/>
    <mergeCell ref="Q27:S27"/>
    <mergeCell ref="K28:P28"/>
    <mergeCell ref="Q28:S28"/>
    <mergeCell ref="B29:C29"/>
    <mergeCell ref="I29:J31"/>
    <mergeCell ref="K29:P29"/>
    <mergeCell ref="Q29:S29"/>
    <mergeCell ref="K30:M30"/>
    <mergeCell ref="N30:P30"/>
    <mergeCell ref="Q30:S30"/>
    <mergeCell ref="B31:C31"/>
    <mergeCell ref="D31:E31"/>
    <mergeCell ref="K31:K32"/>
    <mergeCell ref="R31:R32"/>
    <mergeCell ref="S31:S32"/>
    <mergeCell ref="AW62:AY62"/>
    <mergeCell ref="AZ62:BB62"/>
    <mergeCell ref="I58:J58"/>
    <mergeCell ref="L58:M58"/>
    <mergeCell ref="O58:P58"/>
    <mergeCell ref="R58:S58"/>
    <mergeCell ref="L31:L32"/>
    <mergeCell ref="M31:M32"/>
    <mergeCell ref="N31:N32"/>
    <mergeCell ref="O31:O32"/>
    <mergeCell ref="P31:P32"/>
    <mergeCell ref="Q31:Q32"/>
    <mergeCell ref="AW32:AY32"/>
    <mergeCell ref="AZ32:BA32"/>
    <mergeCell ref="AW33:AY33"/>
    <mergeCell ref="AZ33:BA33"/>
    <mergeCell ref="AW34:AY34"/>
    <mergeCell ref="AZ34:BA34"/>
    <mergeCell ref="AW35:AY35"/>
    <mergeCell ref="AZ35:BA35"/>
    <mergeCell ref="AW42:AX42"/>
    <mergeCell ref="AW43:AX43"/>
    <mergeCell ref="AT37:AU37"/>
    <mergeCell ref="AW37:AX37"/>
    <mergeCell ref="I66:J66"/>
    <mergeCell ref="AT67:AV67"/>
    <mergeCell ref="K68:P71"/>
    <mergeCell ref="O73:P73"/>
    <mergeCell ref="AT62:AV62"/>
    <mergeCell ref="I62:J62"/>
    <mergeCell ref="I63:J63"/>
    <mergeCell ref="I64:J64"/>
    <mergeCell ref="I65:J65"/>
    <mergeCell ref="E80:G80"/>
    <mergeCell ref="G81:H81"/>
    <mergeCell ref="I81:M81"/>
    <mergeCell ref="AT77:BB77"/>
    <mergeCell ref="AT78:BB78"/>
    <mergeCell ref="C85:D85"/>
    <mergeCell ref="F85:G85"/>
    <mergeCell ref="AT79:BC79"/>
    <mergeCell ref="E73:H73"/>
    <mergeCell ref="K73:L73"/>
    <mergeCell ref="E84:F84"/>
    <mergeCell ref="M84:O84"/>
    <mergeCell ref="E76:G76"/>
    <mergeCell ref="K76:N76"/>
    <mergeCell ref="E77:F77"/>
    <mergeCell ref="L77:M77"/>
    <mergeCell ref="E78:F78"/>
    <mergeCell ref="L78:M78"/>
    <mergeCell ref="B76:C76"/>
    <mergeCell ref="O74:P74"/>
    <mergeCell ref="AS76:AW76"/>
    <mergeCell ref="C86:H86"/>
    <mergeCell ref="B89:C89"/>
    <mergeCell ref="I104:L106"/>
    <mergeCell ref="N104:Q104"/>
    <mergeCell ref="C82:H82"/>
    <mergeCell ref="B87:H87"/>
    <mergeCell ref="R105:V105"/>
    <mergeCell ref="N106:Q106"/>
    <mergeCell ref="R106:V106"/>
    <mergeCell ref="AZ67:BB67"/>
    <mergeCell ref="Q68:S71"/>
    <mergeCell ref="E79:G79"/>
    <mergeCell ref="M154:O154"/>
    <mergeCell ref="N155:O155"/>
    <mergeCell ref="Q155:R155"/>
    <mergeCell ref="T155:V155"/>
    <mergeCell ref="M156:V156"/>
    <mergeCell ref="R137:S137"/>
    <mergeCell ref="S140:T140"/>
    <mergeCell ref="S141:T141"/>
    <mergeCell ref="T144:V144"/>
    <mergeCell ref="T145:V145"/>
    <mergeCell ref="M153:O153"/>
    <mergeCell ref="B109:G109"/>
    <mergeCell ref="L109:U132"/>
    <mergeCell ref="B110:D110"/>
    <mergeCell ref="R134:S134"/>
    <mergeCell ref="T134:U134"/>
    <mergeCell ref="R135:S135"/>
    <mergeCell ref="T135:U135"/>
    <mergeCell ref="R104:V104"/>
    <mergeCell ref="N105:Q105"/>
    <mergeCell ref="K74:L74"/>
    <mergeCell ref="B107:I107"/>
    <mergeCell ref="N107:Q107"/>
    <mergeCell ref="R107:V107"/>
    <mergeCell ref="AS3:AT3"/>
    <mergeCell ref="AT4:AU4"/>
    <mergeCell ref="AT5:AU5"/>
    <mergeCell ref="AT6:AU6"/>
    <mergeCell ref="AT7:AU7"/>
    <mergeCell ref="AT8:AU8"/>
    <mergeCell ref="AT9:AU9"/>
    <mergeCell ref="AT10:AU10"/>
    <mergeCell ref="AT12:AU12"/>
    <mergeCell ref="AT13:AU13"/>
    <mergeCell ref="AT14:AU14"/>
    <mergeCell ref="AT24:AU24"/>
    <mergeCell ref="AT25:AU25"/>
    <mergeCell ref="AT26:AU26"/>
    <mergeCell ref="AS28:AT28"/>
    <mergeCell ref="AU32:AV32"/>
    <mergeCell ref="AU33:AV33"/>
    <mergeCell ref="AU34:AV34"/>
    <mergeCell ref="AU35:AV35"/>
    <mergeCell ref="AT42:AU42"/>
    <mergeCell ref="AT43:AU43"/>
    <mergeCell ref="AT15:AU15"/>
    <mergeCell ref="AT16:AU16"/>
    <mergeCell ref="AT17:AU17"/>
    <mergeCell ref="AT18:AU18"/>
    <mergeCell ref="AT20:AU20"/>
    <mergeCell ref="AT21:AU21"/>
    <mergeCell ref="AT22:AU22"/>
    <mergeCell ref="AT23:AU23"/>
    <mergeCell ref="AW15:AX15"/>
    <mergeCell ref="AW16:AX16"/>
    <mergeCell ref="AW17:AX17"/>
    <mergeCell ref="AW18:AX18"/>
    <mergeCell ref="AW20:AX20"/>
    <mergeCell ref="AW21:AX21"/>
    <mergeCell ref="AW22:AX22"/>
    <mergeCell ref="AW23:AX23"/>
    <mergeCell ref="AT46:AU46"/>
    <mergeCell ref="AW46:AX46"/>
    <mergeCell ref="AT47:AU47"/>
    <mergeCell ref="AW47:AX47"/>
    <mergeCell ref="AW29:AY29"/>
    <mergeCell ref="AZ29:BA29"/>
    <mergeCell ref="AW25:AX25"/>
    <mergeCell ref="AW26:AX26"/>
    <mergeCell ref="AU30:AV30"/>
    <mergeCell ref="AW30:AY30"/>
    <mergeCell ref="AZ30:BA30"/>
    <mergeCell ref="AU31:AV31"/>
    <mergeCell ref="AW31:AY31"/>
    <mergeCell ref="AZ31:BA31"/>
    <mergeCell ref="AT38:AU38"/>
    <mergeCell ref="AW38:AX38"/>
    <mergeCell ref="AT39:AU39"/>
    <mergeCell ref="AW39:AX39"/>
    <mergeCell ref="AT40:AU40"/>
    <mergeCell ref="AW40:AX40"/>
    <mergeCell ref="AT41:AU41"/>
    <mergeCell ref="AW41:AX41"/>
    <mergeCell ref="AS45:AY45"/>
    <mergeCell ref="M140:N140"/>
    <mergeCell ref="AT53:AU53"/>
    <mergeCell ref="AW53:AX53"/>
    <mergeCell ref="AT54:AU54"/>
    <mergeCell ref="AW54:AX54"/>
    <mergeCell ref="AT55:AU55"/>
    <mergeCell ref="AW55:AX55"/>
    <mergeCell ref="AT48:AU48"/>
    <mergeCell ref="AW48:AX48"/>
    <mergeCell ref="AT49:AU49"/>
    <mergeCell ref="AW49:AX49"/>
    <mergeCell ref="AT50:AU50"/>
    <mergeCell ref="AW50:AX50"/>
    <mergeCell ref="AT51:AU51"/>
    <mergeCell ref="AW51:AX51"/>
    <mergeCell ref="AT52:AU52"/>
    <mergeCell ref="AW52:AX52"/>
    <mergeCell ref="AW67:AY67"/>
    <mergeCell ref="K79:N79"/>
    <mergeCell ref="I59:S59"/>
    <mergeCell ref="I60:J60"/>
    <mergeCell ref="L60:M62"/>
    <mergeCell ref="O60:P62"/>
    <mergeCell ref="R60:S62"/>
  </mergeCells>
  <conditionalFormatting sqref="D84">
    <cfRule type="cellIs" dxfId="14" priority="2" stopIfTrue="1" operator="notBetween">
      <formula>75.5</formula>
      <formula>76.5</formula>
    </cfRule>
  </conditionalFormatting>
  <conditionalFormatting sqref="Q68">
    <cfRule type="cellIs" dxfId="13" priority="1" stopIfTrue="1" operator="lessThan">
      <formula>"$AP$68"</formula>
    </cfRule>
  </conditionalFormatting>
  <hyperlinks>
    <hyperlink ref="R2" r:id="rId1" display="www.petespintpot.co.uk"/>
    <hyperlink ref="E22" location="'Extract Calc. 1.8 (2)'!A159" display="  To amend/modify any data, please refer to the &quot;Technical Section&quot;."/>
    <hyperlink ref="R105" r:id="rId2"/>
    <hyperlink ref="S106" r:id="rId3" display="www.colchesterhomebrew.co.uk"/>
    <hyperlink ref="R107" r:id="rId4" display="mailto:david.barrow@live.co.uk"/>
    <hyperlink ref="I58:J58" location="'Extract Calc'!M154" display="Isomerised hop extract (ml)"/>
    <hyperlink ref="R108" r:id="rId5" display="www.yobrew.co.uk"/>
    <hyperlink ref="R29" r:id="rId6" display="www.petespintpot.co.uk"/>
    <hyperlink ref="T5" r:id="rId7" display="www.petespintpot.co.uk"/>
    <hyperlink ref="F22" location="'Extract Calc. 1.8 (2)'!A159" display="  To amend/modify any data, please refer to the &quot;Technical Section&quot;."/>
    <hyperlink ref="S105" r:id="rId8" display="www.petespintpot.co.uk"/>
    <hyperlink ref="S107" r:id="rId9" display="www.yobrew.co.uk"/>
    <hyperlink ref="D11" location="'Extract Calc'!N30" display="'Extract Calc'!N30"/>
    <hyperlink ref="D12" location="'Extract Calc'!Q30" display="'Extract Calc'!Q30"/>
    <hyperlink ref="M84:O84" location="'Extract Calc'!P132" display="See more converters."/>
    <hyperlink ref="E22:J22" location="'Extract Calc'!B110" display=" To amend/modify any data, please refer to the &quot;Technical Section&quot;."/>
    <hyperlink ref="C82:G82" location="Primer!D1" display="For more information about &quot;carbonation&quot; see &quot;Beer Primer&quot;."/>
    <hyperlink ref="E84:F84" location="'Beer Calc'!BI4" display="(76% nominally)"/>
    <hyperlink ref="D10" location="'Extract Calc'!K30" display="'Extract Calc'!K30"/>
    <hyperlink ref="B76" location="'Extract Calc'!AS76" display="Priming sugar"/>
    <hyperlink ref="J11:J12" location="'Beer Calc'!AW76" display="'Beer Calc'!AW76"/>
    <hyperlink ref="C82:H82" location="Primer!F1" display="For more information about &quot;carbonation&quot; see the &quot;Beer Primer&quot;."/>
  </hyperlinks>
  <printOptions horizontalCentered="1"/>
  <pageMargins left="0.31496062992125984" right="0.31496062992125984" top="0.27559055118110237" bottom="0.6692913385826772" header="0.11811023622047245" footer="0.19685039370078741"/>
  <pageSetup paperSize="9" scale="47" orientation="portrait" horizontalDpi="300" verticalDpi="300" r:id="rId10"/>
  <headerFooter alignWithMargins="0">
    <oddFooter>&amp;L&amp;7PJ£ 27~8~'6&amp;C&amp;7&amp;Z&amp;F</oddFooter>
  </headerFooter>
  <drawing r:id="rId11"/>
</worksheet>
</file>

<file path=xl/worksheets/sheet4.xml><?xml version="1.0" encoding="utf-8"?>
<worksheet xmlns="http://schemas.openxmlformats.org/spreadsheetml/2006/main" xmlns:r="http://schemas.openxmlformats.org/officeDocument/2006/relationships">
  <sheetPr>
    <tabColor indexed="37"/>
    <pageSetUpPr fitToPage="1"/>
  </sheetPr>
  <dimension ref="A1:BL218"/>
  <sheetViews>
    <sheetView zoomScale="75" zoomScaleNormal="75" zoomScaleSheetLayoutView="75" workbookViewId="0">
      <pane ySplit="15" topLeftCell="A16" activePane="bottomLeft" state="frozen"/>
      <selection activeCell="C1" sqref="C1"/>
      <selection pane="bottomLeft" activeCell="AR14" sqref="AR14:AS14"/>
    </sheetView>
  </sheetViews>
  <sheetFormatPr defaultColWidth="9.140625" defaultRowHeight="15"/>
  <cols>
    <col min="1" max="1" width="2.28515625" style="5" customWidth="1"/>
    <col min="2" max="2" width="29.42578125" style="5" customWidth="1"/>
    <col min="3" max="3" width="9.7109375" style="4" customWidth="1"/>
    <col min="4" max="4" width="10.140625" style="5" customWidth="1"/>
    <col min="5" max="5" width="10.5703125" style="5" customWidth="1"/>
    <col min="6" max="6" width="8.7109375" style="5" customWidth="1"/>
    <col min="7" max="7" width="9.28515625" style="5" customWidth="1"/>
    <col min="8" max="8" width="9.42578125" style="5" customWidth="1"/>
    <col min="9" max="9" width="12.85546875" style="5" customWidth="1"/>
    <col min="10" max="10" width="8.7109375" style="5" customWidth="1"/>
    <col min="11" max="11" width="8.42578125" style="5" customWidth="1"/>
    <col min="12" max="12" width="9" style="5" customWidth="1"/>
    <col min="13" max="14" width="8.42578125" style="5" customWidth="1"/>
    <col min="15" max="15" width="8.85546875" style="5" customWidth="1"/>
    <col min="16" max="17" width="8.42578125" style="5" customWidth="1"/>
    <col min="18" max="19" width="9.140625" style="5" customWidth="1"/>
    <col min="20" max="20" width="8.42578125" style="1660" customWidth="1"/>
    <col min="21" max="37" width="8.140625" style="1660" hidden="1" customWidth="1"/>
    <col min="38" max="38" width="5.140625" style="1660" hidden="1" customWidth="1"/>
    <col min="39" max="39" width="1.42578125" style="1660" customWidth="1"/>
    <col min="40" max="40" width="21.7109375" style="1660" customWidth="1"/>
    <col min="41" max="41" width="7" style="1660" customWidth="1"/>
    <col min="42" max="42" width="0.5703125" style="1660" customWidth="1"/>
    <col min="43" max="43" width="7.85546875" style="1660" customWidth="1"/>
    <col min="44" max="44" width="7" style="1660" customWidth="1"/>
    <col min="45" max="45" width="0.42578125" style="1660" customWidth="1"/>
    <col min="46" max="47" width="7" style="1660" customWidth="1"/>
    <col min="48" max="48" width="0.42578125" style="1660" customWidth="1"/>
    <col min="49" max="49" width="7" style="1660" customWidth="1"/>
    <col min="50" max="50" width="2" style="1660" customWidth="1"/>
    <col min="51" max="51" width="1.140625" style="1660" customWidth="1"/>
    <col min="52" max="52" width="42.42578125" style="5" customWidth="1"/>
    <col min="53" max="53" width="11.5703125" style="5" customWidth="1"/>
    <col min="54" max="54" width="7.5703125" style="5" customWidth="1"/>
    <col min="55" max="55" width="12" style="5" customWidth="1"/>
    <col min="56" max="57" width="6.28515625" style="5" customWidth="1"/>
    <col min="58" max="58" width="9.7109375" style="5" customWidth="1"/>
    <col min="59" max="63" width="6.28515625" style="5" customWidth="1"/>
    <col min="64" max="64" width="5.7109375" style="5" customWidth="1"/>
    <col min="65" max="16384" width="9.140625" style="5"/>
  </cols>
  <sheetData>
    <row r="1" spans="1:64" ht="24" customHeight="1">
      <c r="A1" s="3413" t="s">
        <v>1799</v>
      </c>
      <c r="B1" s="3413"/>
      <c r="C1" s="1373"/>
      <c r="D1" s="1374"/>
      <c r="E1" s="1372"/>
      <c r="F1" s="1330"/>
      <c r="G1" s="3625" t="s">
        <v>1607</v>
      </c>
      <c r="H1" s="3625"/>
      <c r="I1" s="3625"/>
      <c r="J1" s="3625"/>
      <c r="K1" s="3625"/>
      <c r="L1" s="1330"/>
      <c r="M1" s="1095"/>
      <c r="N1" s="1095"/>
      <c r="O1" s="1095"/>
      <c r="P1" s="1324"/>
      <c r="Q1" s="1324"/>
      <c r="R1" s="3616" t="s">
        <v>1798</v>
      </c>
      <c r="S1" s="3616"/>
      <c r="T1" s="3616"/>
      <c r="U1" s="3626" t="s">
        <v>192</v>
      </c>
      <c r="V1" s="3626"/>
      <c r="W1" s="3626"/>
      <c r="X1" s="3626"/>
      <c r="Y1" s="3626"/>
      <c r="Z1" s="3626"/>
      <c r="AA1" s="3626"/>
      <c r="AB1" s="3626"/>
      <c r="AC1" s="3626"/>
      <c r="AD1" s="3626"/>
      <c r="AE1" s="3626"/>
      <c r="AF1" s="3626"/>
      <c r="AG1" s="3626"/>
      <c r="AH1" s="3626"/>
      <c r="AI1" s="3626"/>
      <c r="AJ1" s="3626"/>
      <c r="AK1" s="3626"/>
      <c r="AL1" s="3626"/>
      <c r="AM1" s="1096"/>
      <c r="AN1" s="3627" t="s">
        <v>1651</v>
      </c>
      <c r="AO1" s="3202"/>
      <c r="AP1" s="2330"/>
      <c r="AQ1" s="2330"/>
      <c r="AR1" s="2330"/>
      <c r="AS1" s="2330"/>
      <c r="AT1" s="2331"/>
      <c r="AU1" s="2331"/>
      <c r="AV1" s="2331"/>
      <c r="AW1" s="1096"/>
      <c r="AX1" s="1096"/>
      <c r="AY1" s="46"/>
      <c r="AZ1" s="2186" t="s">
        <v>1511</v>
      </c>
      <c r="BA1" s="2187"/>
      <c r="BB1" s="2187"/>
      <c r="BC1" s="3617"/>
      <c r="BD1" s="3617"/>
      <c r="BE1" s="3617"/>
      <c r="BF1" s="2188"/>
      <c r="BG1" s="2189"/>
      <c r="BH1" s="2190"/>
      <c r="BI1" s="3618" t="s">
        <v>155</v>
      </c>
      <c r="BJ1" s="3618"/>
      <c r="BK1" s="3618"/>
      <c r="BL1" s="2191"/>
    </row>
    <row r="2" spans="1:64" ht="13.5" customHeight="1">
      <c r="A2" s="2371"/>
      <c r="B2" s="2371"/>
      <c r="C2" s="1373"/>
      <c r="D2" s="41"/>
      <c r="E2" s="43"/>
      <c r="F2" s="43"/>
      <c r="G2" s="43"/>
      <c r="H2" s="43"/>
      <c r="I2" s="43"/>
      <c r="J2" s="43"/>
      <c r="K2" s="2503"/>
      <c r="L2" s="41"/>
      <c r="M2" s="1061"/>
      <c r="N2" s="343"/>
      <c r="O2" s="2515"/>
      <c r="P2" s="1324"/>
      <c r="Q2" s="1662"/>
      <c r="R2" s="3619" t="s">
        <v>155</v>
      </c>
      <c r="S2" s="3619"/>
      <c r="T2" s="3619"/>
      <c r="U2" s="1665"/>
      <c r="V2" s="1665"/>
      <c r="W2" s="1665"/>
      <c r="X2" s="1665"/>
      <c r="Y2" s="1665"/>
      <c r="Z2" s="1665"/>
      <c r="AA2" s="1665"/>
      <c r="AB2" s="1665"/>
      <c r="AC2" s="1665"/>
      <c r="AD2" s="1665"/>
      <c r="AE2" s="1665"/>
      <c r="AF2" s="1665"/>
      <c r="AG2" s="1665"/>
      <c r="AH2" s="1665"/>
      <c r="AI2" s="1665"/>
      <c r="AJ2" s="1665"/>
      <c r="AK2" s="1665"/>
      <c r="AL2" s="1665"/>
      <c r="AM2" s="1096"/>
      <c r="AN2" s="2451"/>
      <c r="AO2" s="3201" t="s">
        <v>1652</v>
      </c>
      <c r="AP2" s="3201"/>
      <c r="AQ2" s="2493" t="s">
        <v>1653</v>
      </c>
      <c r="AR2" s="3195" t="s">
        <v>1654</v>
      </c>
      <c r="AS2" s="3196"/>
      <c r="AT2" s="2331"/>
      <c r="AU2" s="2331"/>
      <c r="AV2" s="2331"/>
      <c r="AW2" s="1096"/>
      <c r="AX2" s="1096"/>
      <c r="AY2" s="1665"/>
      <c r="AZ2" s="2192" t="s">
        <v>661</v>
      </c>
      <c r="BA2" s="2193" t="s">
        <v>662</v>
      </c>
      <c r="BB2" s="2194" t="s">
        <v>663</v>
      </c>
      <c r="BC2" s="2195" t="s">
        <v>664</v>
      </c>
      <c r="BD2" s="3620" t="s">
        <v>1509</v>
      </c>
      <c r="BE2" s="3620"/>
      <c r="BF2" s="3620"/>
      <c r="BG2" s="2196" t="s">
        <v>665</v>
      </c>
      <c r="BH2" s="3621" t="s">
        <v>666</v>
      </c>
      <c r="BI2" s="3622"/>
      <c r="BJ2" s="3623" t="s">
        <v>666</v>
      </c>
      <c r="BK2" s="3624"/>
      <c r="BL2" s="2191"/>
    </row>
    <row r="3" spans="1:64" ht="15" customHeight="1">
      <c r="A3" s="2521"/>
      <c r="B3" s="3605" t="s">
        <v>1625</v>
      </c>
      <c r="C3" s="3605"/>
      <c r="D3" s="3605"/>
      <c r="E3" s="3605"/>
      <c r="F3" s="3605"/>
      <c r="G3" s="3605"/>
      <c r="H3" s="3605"/>
      <c r="I3" s="3605"/>
      <c r="J3" s="3605"/>
      <c r="K3" s="3605"/>
      <c r="L3" s="3605"/>
      <c r="M3" s="3605"/>
      <c r="N3" s="3605"/>
      <c r="O3" s="2310"/>
      <c r="P3" s="20"/>
      <c r="Q3" s="1663"/>
      <c r="R3" s="2997" t="s">
        <v>1049</v>
      </c>
      <c r="S3" s="2997"/>
      <c r="T3" s="2997"/>
      <c r="U3" s="1650"/>
      <c r="V3" s="540"/>
      <c r="W3" s="540"/>
      <c r="X3" s="540"/>
      <c r="Y3" s="540"/>
      <c r="Z3" s="540"/>
      <c r="AA3" s="540"/>
      <c r="AB3" s="540"/>
      <c r="AC3" s="540"/>
      <c r="AD3" s="540"/>
      <c r="AE3" s="540"/>
      <c r="AF3" s="1375"/>
      <c r="AG3" s="569"/>
      <c r="AH3" s="1098"/>
      <c r="AI3" s="1376"/>
      <c r="AJ3" s="1376"/>
      <c r="AK3" s="1376"/>
      <c r="AL3" s="1377"/>
      <c r="AM3" s="1096"/>
      <c r="AN3" s="1545"/>
      <c r="AO3" s="3182">
        <v>1</v>
      </c>
      <c r="AP3" s="3190"/>
      <c r="AQ3" s="2358">
        <f>AO3*6/5</f>
        <v>1.2</v>
      </c>
      <c r="AR3" s="3193">
        <f t="shared" ref="AR3" si="0">3.7854*AQ3/8</f>
        <v>0.56781000000000004</v>
      </c>
      <c r="AS3" s="3194"/>
      <c r="AT3" s="2331"/>
      <c r="AU3" s="2331"/>
      <c r="AV3" s="2331"/>
      <c r="AW3" s="1096"/>
      <c r="AX3" s="1096"/>
      <c r="AY3" s="46"/>
      <c r="AZ3" s="2197"/>
      <c r="BA3" s="2198"/>
      <c r="BB3" s="2199" t="s">
        <v>667</v>
      </c>
      <c r="BC3" s="2200"/>
      <c r="BD3" s="3606" t="s">
        <v>1510</v>
      </c>
      <c r="BE3" s="3606"/>
      <c r="BF3" s="3606"/>
      <c r="BG3" s="2201" t="s">
        <v>607</v>
      </c>
      <c r="BH3" s="3607" t="s">
        <v>668</v>
      </c>
      <c r="BI3" s="3608"/>
      <c r="BJ3" s="3609" t="s">
        <v>669</v>
      </c>
      <c r="BK3" s="3610"/>
      <c r="BL3" s="2191"/>
    </row>
    <row r="4" spans="1:64" ht="15" customHeight="1">
      <c r="A4" s="2521"/>
      <c r="B4" s="3605" t="s">
        <v>1144</v>
      </c>
      <c r="C4" s="3605"/>
      <c r="D4" s="3605"/>
      <c r="E4" s="3605"/>
      <c r="F4" s="3605"/>
      <c r="G4" s="3605"/>
      <c r="H4" s="3605"/>
      <c r="I4" s="3605"/>
      <c r="J4" s="3605"/>
      <c r="K4" s="3611" t="s">
        <v>256</v>
      </c>
      <c r="L4" s="3611"/>
      <c r="M4" s="3611"/>
      <c r="N4" s="3611"/>
      <c r="O4" s="3611"/>
      <c r="P4" s="1340"/>
      <c r="Q4" s="1340"/>
      <c r="R4" s="1254"/>
      <c r="S4" s="1254"/>
      <c r="T4" s="1255"/>
      <c r="U4" s="1255"/>
      <c r="V4" s="539"/>
      <c r="W4" s="539"/>
      <c r="X4" s="539"/>
      <c r="Y4" s="1098"/>
      <c r="Z4" s="1098"/>
      <c r="AA4" s="1098"/>
      <c r="AB4" s="1098"/>
      <c r="AC4" s="1098"/>
      <c r="AD4" s="1098"/>
      <c r="AE4" s="1098"/>
      <c r="AF4" s="1098"/>
      <c r="AG4" s="1098"/>
      <c r="AH4" s="1098"/>
      <c r="AI4" s="1098"/>
      <c r="AJ4" s="1098"/>
      <c r="AK4" s="1376"/>
      <c r="AL4" s="1377"/>
      <c r="AM4" s="1096"/>
      <c r="AN4" s="1545"/>
      <c r="AO4" s="3182">
        <v>2</v>
      </c>
      <c r="AP4" s="3190"/>
      <c r="AQ4" s="2358">
        <f t="shared" ref="AQ4:AQ8" si="1">AO4*6/5</f>
        <v>2.4</v>
      </c>
      <c r="AR4" s="3193">
        <f t="shared" ref="AR4:AR8" si="2">3.7854*AQ4/8</f>
        <v>1.1356200000000001</v>
      </c>
      <c r="AS4" s="3194"/>
      <c r="AT4" s="2331"/>
      <c r="AU4" s="2331"/>
      <c r="AV4" s="2331"/>
      <c r="AW4" s="1096"/>
      <c r="AX4" s="1096"/>
      <c r="AY4" s="46"/>
      <c r="AZ4" s="2202"/>
      <c r="BA4" s="2203"/>
      <c r="BB4" s="2202"/>
      <c r="BC4" s="2204"/>
      <c r="BD4" s="2205" t="s">
        <v>170</v>
      </c>
      <c r="BE4" s="2206" t="s">
        <v>670</v>
      </c>
      <c r="BF4" s="2207" t="s">
        <v>169</v>
      </c>
      <c r="BG4" s="2208" t="s">
        <v>142</v>
      </c>
      <c r="BH4" s="3612" t="s">
        <v>671</v>
      </c>
      <c r="BI4" s="3613"/>
      <c r="BJ4" s="3614" t="s">
        <v>671</v>
      </c>
      <c r="BK4" s="3615"/>
      <c r="BL4" s="2191"/>
    </row>
    <row r="5" spans="1:64" ht="13.5" customHeight="1">
      <c r="A5" s="2521"/>
      <c r="B5" s="1865"/>
      <c r="C5" s="72"/>
      <c r="D5" s="41"/>
      <c r="E5" s="43"/>
      <c r="F5" s="43"/>
      <c r="G5" s="43"/>
      <c r="H5" s="43"/>
      <c r="I5" s="43"/>
      <c r="J5" s="43"/>
      <c r="K5" s="2503"/>
      <c r="L5" s="41"/>
      <c r="M5" s="1061"/>
      <c r="N5" s="343"/>
      <c r="O5" s="2515"/>
      <c r="P5" s="343"/>
      <c r="Q5" s="343"/>
      <c r="R5" s="2528"/>
      <c r="S5" s="2528"/>
      <c r="T5" s="1666"/>
      <c r="U5" s="1650"/>
      <c r="V5" s="540"/>
      <c r="W5" s="540"/>
      <c r="X5" s="540"/>
      <c r="Y5" s="540"/>
      <c r="Z5" s="540"/>
      <c r="AA5" s="540"/>
      <c r="AB5" s="540"/>
      <c r="AC5" s="540"/>
      <c r="AD5" s="540"/>
      <c r="AE5" s="540"/>
      <c r="AF5" s="1375"/>
      <c r="AG5" s="569"/>
      <c r="AH5" s="1098"/>
      <c r="AI5" s="1376"/>
      <c r="AJ5" s="1376"/>
      <c r="AK5" s="1376"/>
      <c r="AL5" s="1377"/>
      <c r="AM5" s="1096"/>
      <c r="AN5" s="1545"/>
      <c r="AO5" s="3182">
        <v>3</v>
      </c>
      <c r="AP5" s="3190"/>
      <c r="AQ5" s="2358">
        <f t="shared" si="1"/>
        <v>3.6</v>
      </c>
      <c r="AR5" s="3193">
        <f t="shared" si="2"/>
        <v>1.70343</v>
      </c>
      <c r="AS5" s="3194"/>
      <c r="AT5" s="2331"/>
      <c r="AU5" s="2331"/>
      <c r="AV5" s="2331"/>
      <c r="AW5" s="1096"/>
      <c r="AX5" s="1096"/>
      <c r="AY5" s="46"/>
      <c r="AZ5" s="1378" t="s">
        <v>672</v>
      </c>
      <c r="BA5" s="1379" t="s">
        <v>673</v>
      </c>
      <c r="BB5" s="1380" t="s">
        <v>674</v>
      </c>
      <c r="BC5" s="1379" t="s">
        <v>675</v>
      </c>
      <c r="BD5" s="1381">
        <v>75</v>
      </c>
      <c r="BE5" s="1381">
        <v>80</v>
      </c>
      <c r="BF5" s="2928">
        <f t="shared" ref="BF5:BF66" si="3">(BE5+BD5)/2</f>
        <v>77.5</v>
      </c>
      <c r="BG5" s="1382" t="s">
        <v>676</v>
      </c>
      <c r="BH5" s="2929">
        <f t="shared" ref="BH5:BI15" si="4">((BJ5+40)*5/9)-40</f>
        <v>18.333333333333336</v>
      </c>
      <c r="BI5" s="2929">
        <f t="shared" si="4"/>
        <v>21.111111111111114</v>
      </c>
      <c r="BJ5" s="1383">
        <v>65</v>
      </c>
      <c r="BK5" s="1383">
        <v>70</v>
      </c>
      <c r="BL5" s="2191"/>
    </row>
    <row r="6" spans="1:64" ht="15" customHeight="1">
      <c r="A6" s="2521"/>
      <c r="B6" s="3595" t="s">
        <v>807</v>
      </c>
      <c r="C6" s="3596"/>
      <c r="D6" s="3597" t="s">
        <v>1488</v>
      </c>
      <c r="E6" s="3598"/>
      <c r="F6" s="3598"/>
      <c r="G6" s="3599"/>
      <c r="H6" s="1570" t="s">
        <v>1073</v>
      </c>
      <c r="I6" s="3403" t="s">
        <v>1472</v>
      </c>
      <c r="J6" s="3404"/>
      <c r="K6" s="3404"/>
      <c r="L6" s="3404"/>
      <c r="M6" s="3404"/>
      <c r="N6" s="3404"/>
      <c r="O6" s="3404"/>
      <c r="P6" s="3404"/>
      <c r="Q6" s="3405"/>
      <c r="R6" s="2528"/>
      <c r="S6" s="1254"/>
      <c r="T6" s="197"/>
      <c r="U6" s="1650"/>
      <c r="V6" s="540"/>
      <c r="W6" s="540"/>
      <c r="X6" s="540"/>
      <c r="Y6" s="540"/>
      <c r="Z6" s="540"/>
      <c r="AA6" s="540"/>
      <c r="AB6" s="540"/>
      <c r="AC6" s="540"/>
      <c r="AD6" s="540"/>
      <c r="AE6" s="540"/>
      <c r="AF6" s="1375"/>
      <c r="AG6" s="569"/>
      <c r="AH6" s="1098"/>
      <c r="AI6" s="1376"/>
      <c r="AJ6" s="1376"/>
      <c r="AK6" s="1376"/>
      <c r="AL6" s="1377"/>
      <c r="AM6" s="1096"/>
      <c r="AN6" s="1545"/>
      <c r="AO6" s="3182">
        <v>4</v>
      </c>
      <c r="AP6" s="3190"/>
      <c r="AQ6" s="2358">
        <f t="shared" si="1"/>
        <v>4.8</v>
      </c>
      <c r="AR6" s="3193">
        <f t="shared" si="2"/>
        <v>2.2712400000000001</v>
      </c>
      <c r="AS6" s="3194"/>
      <c r="AT6" s="2331"/>
      <c r="AU6" s="2331"/>
      <c r="AV6" s="2331"/>
      <c r="AW6" s="1096"/>
      <c r="AX6" s="1096"/>
      <c r="AY6" s="46"/>
      <c r="AZ6" s="1645" t="s">
        <v>677</v>
      </c>
      <c r="BA6" s="1384" t="s">
        <v>673</v>
      </c>
      <c r="BB6" s="1385" t="s">
        <v>674</v>
      </c>
      <c r="BC6" s="1384" t="s">
        <v>678</v>
      </c>
      <c r="BD6" s="1386">
        <v>75</v>
      </c>
      <c r="BE6" s="1386">
        <v>80</v>
      </c>
      <c r="BF6" s="2928">
        <f t="shared" si="3"/>
        <v>77.5</v>
      </c>
      <c r="BG6" s="1382" t="s">
        <v>679</v>
      </c>
      <c r="BH6" s="2930">
        <f t="shared" si="4"/>
        <v>18.888888888888886</v>
      </c>
      <c r="BI6" s="2930">
        <f t="shared" si="4"/>
        <v>22.222222222222221</v>
      </c>
      <c r="BJ6" s="1387">
        <v>66</v>
      </c>
      <c r="BK6" s="1387">
        <v>72</v>
      </c>
      <c r="BL6" s="2191"/>
    </row>
    <row r="7" spans="1:64" ht="15" customHeight="1">
      <c r="A7" s="46"/>
      <c r="B7" s="1641" t="s">
        <v>1744</v>
      </c>
      <c r="C7" s="1388">
        <f>1000+AK65</f>
        <v>1035.1478369565218</v>
      </c>
      <c r="D7" s="3600" t="s">
        <v>37</v>
      </c>
      <c r="E7" s="3601"/>
      <c r="F7" s="3601"/>
      <c r="G7" s="1389">
        <f>1000+AK64</f>
        <v>1036.3290869565217</v>
      </c>
      <c r="H7" s="1571">
        <v>1038</v>
      </c>
      <c r="I7" s="3602"/>
      <c r="J7" s="3603"/>
      <c r="K7" s="3604" t="s">
        <v>1064</v>
      </c>
      <c r="L7" s="3604"/>
      <c r="M7" s="3604"/>
      <c r="N7" s="1325" t="s">
        <v>952</v>
      </c>
      <c r="O7" s="1325"/>
      <c r="P7" s="1390" t="s">
        <v>953</v>
      </c>
      <c r="Q7" s="1391"/>
      <c r="R7" s="2528"/>
      <c r="S7" s="1254"/>
      <c r="T7" s="393"/>
      <c r="U7" s="1650"/>
      <c r="V7" s="540"/>
      <c r="W7" s="540"/>
      <c r="X7" s="540"/>
      <c r="Y7" s="540"/>
      <c r="Z7" s="540"/>
      <c r="AA7" s="540"/>
      <c r="AB7" s="540"/>
      <c r="AC7" s="540"/>
      <c r="AD7" s="540"/>
      <c r="AE7" s="540"/>
      <c r="AF7" s="1375"/>
      <c r="AG7" s="569"/>
      <c r="AH7" s="1098"/>
      <c r="AI7" s="1376"/>
      <c r="AJ7" s="1376"/>
      <c r="AK7" s="1376"/>
      <c r="AL7" s="1377"/>
      <c r="AM7" s="1096"/>
      <c r="AN7" s="1545"/>
      <c r="AO7" s="3182">
        <v>5</v>
      </c>
      <c r="AP7" s="3190"/>
      <c r="AQ7" s="2358">
        <f t="shared" si="1"/>
        <v>6</v>
      </c>
      <c r="AR7" s="3193">
        <f t="shared" si="2"/>
        <v>2.8390500000000003</v>
      </c>
      <c r="AS7" s="3194"/>
      <c r="AT7" s="2331"/>
      <c r="AU7" s="2331"/>
      <c r="AV7" s="2331"/>
      <c r="AW7" s="1096"/>
      <c r="AX7" s="1096"/>
      <c r="AY7" s="46"/>
      <c r="AZ7" s="1700" t="s">
        <v>680</v>
      </c>
      <c r="BA7" s="1392" t="s">
        <v>681</v>
      </c>
      <c r="BB7" s="1385" t="s">
        <v>674</v>
      </c>
      <c r="BC7" s="1384" t="s">
        <v>675</v>
      </c>
      <c r="BD7" s="1386">
        <v>74</v>
      </c>
      <c r="BE7" s="1386">
        <v>82</v>
      </c>
      <c r="BF7" s="2928">
        <f t="shared" si="3"/>
        <v>78</v>
      </c>
      <c r="BG7" s="1382" t="s">
        <v>679</v>
      </c>
      <c r="BH7" s="2930">
        <f t="shared" si="4"/>
        <v>18.888888888888886</v>
      </c>
      <c r="BI7" s="2931">
        <f t="shared" si="4"/>
        <v>22.222222222222221</v>
      </c>
      <c r="BJ7" s="1393">
        <v>66</v>
      </c>
      <c r="BK7" s="1394">
        <v>72</v>
      </c>
      <c r="BL7" s="2191"/>
    </row>
    <row r="8" spans="1:64" ht="15" customHeight="1">
      <c r="A8" s="1255"/>
      <c r="B8" s="1642" t="s">
        <v>1745</v>
      </c>
      <c r="C8" s="92">
        <f>1000+AK66</f>
        <v>1006.5129889574753</v>
      </c>
      <c r="D8" s="3586" t="s">
        <v>38</v>
      </c>
      <c r="E8" s="3564"/>
      <c r="F8" s="3564"/>
      <c r="G8" s="1395">
        <f>1000+AK67</f>
        <v>1006.418563196979</v>
      </c>
      <c r="H8" s="1572">
        <v>1007</v>
      </c>
      <c r="I8" s="3587" t="s">
        <v>12</v>
      </c>
      <c r="J8" s="3588"/>
      <c r="K8" s="3588"/>
      <c r="L8" s="93">
        <v>500</v>
      </c>
      <c r="M8" s="94" t="s">
        <v>13</v>
      </c>
      <c r="N8" s="203">
        <v>1</v>
      </c>
      <c r="O8" s="95" t="s">
        <v>14</v>
      </c>
      <c r="P8" s="204">
        <v>12</v>
      </c>
      <c r="Q8" s="2512" t="s">
        <v>15</v>
      </c>
      <c r="R8" s="2528"/>
      <c r="S8" s="1254"/>
      <c r="T8" s="197"/>
      <c r="U8" s="1693"/>
      <c r="V8" s="1695">
        <f>0.01*U9*(G7-G8)/(7.75-(3*(G7-1000)/800))</f>
        <v>0.21739003736008358</v>
      </c>
      <c r="W8" s="540"/>
      <c r="X8" s="1098"/>
      <c r="Y8" s="540"/>
      <c r="Z8" s="540"/>
      <c r="AA8" s="540"/>
      <c r="AB8" s="540"/>
      <c r="AC8" s="540"/>
      <c r="AD8" s="540"/>
      <c r="AE8" s="540"/>
      <c r="AF8" s="1375"/>
      <c r="AG8" s="569"/>
      <c r="AH8" s="1098"/>
      <c r="AI8" s="1376"/>
      <c r="AJ8" s="1376"/>
      <c r="AK8" s="1376"/>
      <c r="AL8" s="1377"/>
      <c r="AM8" s="1096"/>
      <c r="AN8" s="1545"/>
      <c r="AO8" s="3182">
        <v>25</v>
      </c>
      <c r="AP8" s="3190"/>
      <c r="AQ8" s="2358">
        <f t="shared" si="1"/>
        <v>30</v>
      </c>
      <c r="AR8" s="3193">
        <f t="shared" si="2"/>
        <v>14.19525</v>
      </c>
      <c r="AS8" s="3194"/>
      <c r="AT8" s="2331"/>
      <c r="AU8" s="2331"/>
      <c r="AV8" s="2331"/>
      <c r="AW8" s="1096"/>
      <c r="AX8" s="1096"/>
      <c r="AY8" s="46"/>
      <c r="AZ8" s="1697" t="s">
        <v>687</v>
      </c>
      <c r="BA8" s="1392" t="s">
        <v>681</v>
      </c>
      <c r="BB8" s="1385" t="s">
        <v>674</v>
      </c>
      <c r="BC8" s="1384" t="s">
        <v>678</v>
      </c>
      <c r="BD8" s="1406">
        <v>70</v>
      </c>
      <c r="BE8" s="1386">
        <v>74</v>
      </c>
      <c r="BF8" s="2928">
        <f t="shared" si="3"/>
        <v>72</v>
      </c>
      <c r="BG8" s="1382" t="s">
        <v>688</v>
      </c>
      <c r="BH8" s="2930">
        <f t="shared" si="4"/>
        <v>18.888888888888886</v>
      </c>
      <c r="BI8" s="2931">
        <f t="shared" si="4"/>
        <v>21.111111111111114</v>
      </c>
      <c r="BJ8" s="1393">
        <v>66</v>
      </c>
      <c r="BK8" s="1394">
        <v>70</v>
      </c>
      <c r="BL8" s="2191"/>
    </row>
    <row r="9" spans="1:64" ht="15" customHeight="1">
      <c r="A9" s="1255"/>
      <c r="B9" s="1642" t="s">
        <v>39</v>
      </c>
      <c r="C9" s="145">
        <f>(C7-C8)/(7.75-(3*(C7-1000)/800))</f>
        <v>3.7587441252030644</v>
      </c>
      <c r="D9" s="3589" t="s">
        <v>40</v>
      </c>
      <c r="E9" s="3590"/>
      <c r="F9" s="3590"/>
      <c r="G9" s="1398">
        <f>(G7-G8)/(7.75-(3*(G7-1000)/800))</f>
        <v>3.9284795538040882</v>
      </c>
      <c r="H9" s="1572">
        <v>3.9</v>
      </c>
      <c r="I9" s="3591" t="s">
        <v>16</v>
      </c>
      <c r="J9" s="3592"/>
      <c r="K9" s="3592"/>
      <c r="L9" s="1399">
        <f>L8*V8</f>
        <v>108.6950186800418</v>
      </c>
      <c r="M9" s="1400"/>
      <c r="N9" s="1401">
        <f>568*N8*V8</f>
        <v>123.47754122052747</v>
      </c>
      <c r="O9" s="1402"/>
      <c r="P9" s="1403">
        <f>29.57*P8*V8</f>
        <v>77.138680856852062</v>
      </c>
      <c r="Q9" s="1183"/>
      <c r="R9" s="2528"/>
      <c r="S9" s="1254"/>
      <c r="T9" s="197"/>
      <c r="U9" s="1402">
        <f>7.01*0.7894</f>
        <v>5.5336939999999997</v>
      </c>
      <c r="V9" s="1486">
        <f>0.00000001*G8*((1000*G7)/U9+(819.2*G8)-1000400)</f>
        <v>0.11407019107351771</v>
      </c>
      <c r="W9" s="540"/>
      <c r="X9" s="540"/>
      <c r="Y9" s="540"/>
      <c r="Z9" s="540"/>
      <c r="AA9" s="540"/>
      <c r="AB9" s="540"/>
      <c r="AC9" s="540"/>
      <c r="AD9" s="540"/>
      <c r="AE9" s="540"/>
      <c r="AF9" s="1375"/>
      <c r="AG9" s="569"/>
      <c r="AH9" s="1098"/>
      <c r="AI9" s="1376"/>
      <c r="AJ9" s="1376"/>
      <c r="AK9" s="1376"/>
      <c r="AL9" s="1377"/>
      <c r="AM9" s="1096"/>
      <c r="AN9" s="2338"/>
      <c r="AO9" s="2627"/>
      <c r="AP9" s="2627"/>
      <c r="AQ9" s="2359"/>
      <c r="AR9" s="2359"/>
      <c r="AS9" s="2331"/>
      <c r="AT9" s="2331"/>
      <c r="AU9" s="2331"/>
      <c r="AV9" s="2331"/>
      <c r="AW9" s="1096"/>
      <c r="AX9" s="1096"/>
      <c r="AY9" s="46"/>
      <c r="AZ9" s="1645" t="s">
        <v>682</v>
      </c>
      <c r="BA9" s="1384" t="s">
        <v>683</v>
      </c>
      <c r="BB9" s="1385" t="s">
        <v>674</v>
      </c>
      <c r="BC9" s="1384" t="s">
        <v>675</v>
      </c>
      <c r="BD9" s="1396"/>
      <c r="BE9" s="1396"/>
      <c r="BF9" s="2928">
        <f t="shared" si="3"/>
        <v>0</v>
      </c>
      <c r="BG9" s="1397" t="s">
        <v>684</v>
      </c>
      <c r="BH9" s="2930">
        <f t="shared" si="4"/>
        <v>15</v>
      </c>
      <c r="BI9" s="2930">
        <f t="shared" si="4"/>
        <v>20</v>
      </c>
      <c r="BJ9" s="1387">
        <v>59</v>
      </c>
      <c r="BK9" s="1387">
        <v>68</v>
      </c>
      <c r="BL9" s="2191"/>
    </row>
    <row r="10" spans="1:64" ht="15" customHeight="1">
      <c r="A10" s="1255"/>
      <c r="B10" s="1649" t="s">
        <v>41</v>
      </c>
      <c r="C10" s="2081">
        <f>VLOOKUP($C$26,$U$64:$V$107,2)</f>
        <v>0.877</v>
      </c>
      <c r="D10" s="3593" t="s">
        <v>42</v>
      </c>
      <c r="E10" s="3594"/>
      <c r="F10" s="3594"/>
      <c r="G10" s="2082">
        <f>C61</f>
        <v>1.7022631578947367</v>
      </c>
      <c r="H10" s="1572">
        <v>1.7</v>
      </c>
      <c r="I10" s="3586" t="s">
        <v>1473</v>
      </c>
      <c r="J10" s="3564"/>
      <c r="K10" s="3564"/>
      <c r="L10" s="1399">
        <f>L8*V9</f>
        <v>57.035095536758853</v>
      </c>
      <c r="M10" s="1182"/>
      <c r="N10" s="1404">
        <f>568*V9*N8</f>
        <v>64.791868529758062</v>
      </c>
      <c r="O10" s="1182"/>
      <c r="P10" s="1405">
        <f>29.57*V9*P8</f>
        <v>40.476666600527025</v>
      </c>
      <c r="Q10" s="2094"/>
      <c r="R10" s="2528"/>
      <c r="S10" s="1254"/>
      <c r="T10" s="197"/>
      <c r="U10" s="1694"/>
      <c r="V10" s="1696">
        <f>SUM(V8:V9)</f>
        <v>0.33146022843360129</v>
      </c>
      <c r="W10" s="540"/>
      <c r="X10" s="540"/>
      <c r="Y10" s="540"/>
      <c r="Z10" s="540"/>
      <c r="AA10" s="540"/>
      <c r="AB10" s="540"/>
      <c r="AC10" s="540"/>
      <c r="AD10" s="540"/>
      <c r="AE10" s="540"/>
      <c r="AF10" s="1375"/>
      <c r="AG10" s="569"/>
      <c r="AH10" s="1098"/>
      <c r="AI10" s="1376"/>
      <c r="AJ10" s="1376"/>
      <c r="AK10" s="1376"/>
      <c r="AL10" s="1377"/>
      <c r="AM10" s="1096"/>
      <c r="AN10" s="1545"/>
      <c r="AO10" s="3628" t="s">
        <v>1653</v>
      </c>
      <c r="AP10" s="3629"/>
      <c r="AQ10" s="2493" t="s">
        <v>1652</v>
      </c>
      <c r="AR10" s="3195" t="s">
        <v>1654</v>
      </c>
      <c r="AS10" s="3196"/>
      <c r="AT10" s="2331"/>
      <c r="AU10" s="2331"/>
      <c r="AV10" s="2331"/>
      <c r="AW10" s="1096"/>
      <c r="AX10" s="1096"/>
      <c r="AY10" s="46"/>
      <c r="AZ10" s="1645" t="s">
        <v>689</v>
      </c>
      <c r="BA10" s="1384" t="s">
        <v>690</v>
      </c>
      <c r="BB10" s="1385" t="s">
        <v>674</v>
      </c>
      <c r="BC10" s="1384" t="s">
        <v>691</v>
      </c>
      <c r="BD10" s="1386">
        <v>73</v>
      </c>
      <c r="BE10" s="1386">
        <v>77</v>
      </c>
      <c r="BF10" s="2928">
        <f t="shared" si="3"/>
        <v>75</v>
      </c>
      <c r="BG10" s="1397">
        <v>11</v>
      </c>
      <c r="BH10" s="2930">
        <f t="shared" si="4"/>
        <v>15.555555555555557</v>
      </c>
      <c r="BI10" s="2930">
        <f t="shared" si="4"/>
        <v>22.222222222222221</v>
      </c>
      <c r="BJ10" s="1387">
        <v>60</v>
      </c>
      <c r="BK10" s="1387">
        <v>72</v>
      </c>
      <c r="BL10" s="2191"/>
    </row>
    <row r="11" spans="1:64" ht="15" customHeight="1">
      <c r="A11" s="1255"/>
      <c r="B11" s="2083" t="s">
        <v>1742</v>
      </c>
      <c r="C11" s="2084" t="str">
        <f>FIXED(((U53+U54+U55)*0.0353),2)&amp;" oz"</f>
        <v>13.01 oz</v>
      </c>
      <c r="D11" s="3373" t="s">
        <v>43</v>
      </c>
      <c r="E11" s="3374"/>
      <c r="F11" s="3374"/>
      <c r="G11" s="2085" t="str">
        <f>FIXED(((U53+U54+U55+C57*C24/(23/40.5))*0.0353),2)&amp;" oz"</f>
        <v>17.51 oz</v>
      </c>
      <c r="H11" s="2086">
        <f>H7-1000</f>
        <v>38</v>
      </c>
      <c r="I11" s="3579" t="s">
        <v>18</v>
      </c>
      <c r="J11" s="3580"/>
      <c r="K11" s="3580"/>
      <c r="L11" s="1326">
        <f>L10/3.85</f>
        <v>14.814310529028273</v>
      </c>
      <c r="M11" s="1407" t="s">
        <v>141</v>
      </c>
      <c r="N11" s="1408">
        <f>N10/3.85</f>
        <v>16.829056760976119</v>
      </c>
      <c r="O11" s="1409" t="s">
        <v>141</v>
      </c>
      <c r="P11" s="1410">
        <f>P10/3.85</f>
        <v>10.513419896240785</v>
      </c>
      <c r="Q11" s="1411" t="s">
        <v>141</v>
      </c>
      <c r="R11" s="2528"/>
      <c r="S11" s="1254"/>
      <c r="T11" s="197"/>
      <c r="U11" s="1692"/>
      <c r="V11" s="540"/>
      <c r="W11" s="540"/>
      <c r="X11" s="540"/>
      <c r="Y11" s="540"/>
      <c r="Z11" s="540"/>
      <c r="AA11" s="540"/>
      <c r="AB11" s="540"/>
      <c r="AC11" s="540"/>
      <c r="AD11" s="540"/>
      <c r="AE11" s="540"/>
      <c r="AF11" s="1375"/>
      <c r="AG11" s="569"/>
      <c r="AH11" s="1098"/>
      <c r="AI11" s="1376"/>
      <c r="AJ11" s="1376"/>
      <c r="AK11" s="1376"/>
      <c r="AL11" s="1377"/>
      <c r="AM11" s="1096"/>
      <c r="AN11" s="1545"/>
      <c r="AO11" s="3188">
        <v>1</v>
      </c>
      <c r="AP11" s="3189"/>
      <c r="AQ11" s="2358">
        <f t="shared" ref="AQ11:AQ16" si="5">AO11*(5/6)</f>
        <v>0.83333333333333337</v>
      </c>
      <c r="AR11" s="3193">
        <f t="shared" ref="AR11:AR16" si="6">3.7854*AO11/8</f>
        <v>0.47317500000000001</v>
      </c>
      <c r="AS11" s="3194"/>
      <c r="AT11" s="2331"/>
      <c r="AU11" s="2331"/>
      <c r="AV11" s="2331"/>
      <c r="AW11" s="1096"/>
      <c r="AX11" s="1096"/>
      <c r="AY11" s="46"/>
      <c r="AZ11" s="1645" t="s">
        <v>692</v>
      </c>
      <c r="BA11" s="1384" t="s">
        <v>683</v>
      </c>
      <c r="BB11" s="1385" t="s">
        <v>674</v>
      </c>
      <c r="BC11" s="1384" t="s">
        <v>675</v>
      </c>
      <c r="BD11" s="1386"/>
      <c r="BE11" s="1386"/>
      <c r="BF11" s="2928">
        <f t="shared" si="3"/>
        <v>0</v>
      </c>
      <c r="BG11" s="1397" t="s">
        <v>684</v>
      </c>
      <c r="BH11" s="2930">
        <f t="shared" si="4"/>
        <v>17.777777777777779</v>
      </c>
      <c r="BI11" s="2930">
        <f t="shared" si="4"/>
        <v>22.222222222222221</v>
      </c>
      <c r="BJ11" s="1387">
        <v>64</v>
      </c>
      <c r="BK11" s="1387">
        <v>72</v>
      </c>
      <c r="BL11" s="2191"/>
    </row>
    <row r="12" spans="1:64" ht="15" customHeight="1">
      <c r="A12" s="1255"/>
      <c r="B12" s="2092" t="s">
        <v>44</v>
      </c>
      <c r="C12" s="2093">
        <f>K65+L65+M65+(K58*N216*R216/(J216*C24))</f>
        <v>32.309396169009851</v>
      </c>
      <c r="D12" s="3375" t="s">
        <v>1570</v>
      </c>
      <c r="E12" s="3375"/>
      <c r="F12" s="3375"/>
      <c r="G12" s="3581"/>
      <c r="H12" s="2091">
        <v>33</v>
      </c>
      <c r="I12" s="3381" t="s">
        <v>20</v>
      </c>
      <c r="J12" s="3382"/>
      <c r="K12" s="3382"/>
      <c r="L12" s="1210">
        <f>SUM(L9:L10)</f>
        <v>165.73011421680064</v>
      </c>
      <c r="M12" s="1211"/>
      <c r="N12" s="1212">
        <f>SUM(N9:N10)</f>
        <v>188.26940975028555</v>
      </c>
      <c r="O12" s="1211"/>
      <c r="P12" s="1412">
        <f>SUM(P9:P10)</f>
        <v>117.61534745737909</v>
      </c>
      <c r="Q12" s="1413"/>
      <c r="R12" s="2528"/>
      <c r="S12" s="1254"/>
      <c r="T12" s="197"/>
      <c r="U12" s="1650"/>
      <c r="V12" s="1652"/>
      <c r="W12" s="540"/>
      <c r="X12" s="540"/>
      <c r="Y12" s="540"/>
      <c r="Z12" s="540"/>
      <c r="AA12" s="540"/>
      <c r="AB12" s="540"/>
      <c r="AC12" s="540"/>
      <c r="AD12" s="540"/>
      <c r="AE12" s="540"/>
      <c r="AF12" s="1375"/>
      <c r="AG12" s="569"/>
      <c r="AH12" s="1098"/>
      <c r="AI12" s="1376"/>
      <c r="AJ12" s="1376"/>
      <c r="AK12" s="1376"/>
      <c r="AL12" s="1377"/>
      <c r="AM12" s="1096"/>
      <c r="AN12" s="1545"/>
      <c r="AO12" s="3188">
        <v>2</v>
      </c>
      <c r="AP12" s="3189"/>
      <c r="AQ12" s="2358">
        <f t="shared" si="5"/>
        <v>1.6666666666666667</v>
      </c>
      <c r="AR12" s="3193">
        <f t="shared" ref="AR12:AR15" si="7">3.7854*AO12/8</f>
        <v>0.94635000000000002</v>
      </c>
      <c r="AS12" s="3194"/>
      <c r="AT12" s="2331"/>
      <c r="AU12" s="2331"/>
      <c r="AV12" s="2331"/>
      <c r="AW12" s="1096"/>
      <c r="AX12" s="1096"/>
      <c r="AY12" s="46"/>
      <c r="AZ12" s="1645" t="s">
        <v>693</v>
      </c>
      <c r="BA12" s="1384" t="s">
        <v>690</v>
      </c>
      <c r="BB12" s="1385" t="s">
        <v>674</v>
      </c>
      <c r="BC12" s="1384" t="s">
        <v>675</v>
      </c>
      <c r="BD12" s="1386">
        <v>72</v>
      </c>
      <c r="BE12" s="1386">
        <v>76</v>
      </c>
      <c r="BF12" s="2928">
        <f t="shared" si="3"/>
        <v>74</v>
      </c>
      <c r="BG12" s="1397">
        <v>10</v>
      </c>
      <c r="BH12" s="2930">
        <f t="shared" si="4"/>
        <v>15.555555555555557</v>
      </c>
      <c r="BI12" s="2930">
        <f t="shared" si="4"/>
        <v>22.222222222222221</v>
      </c>
      <c r="BJ12" s="1387">
        <v>60</v>
      </c>
      <c r="BK12" s="1387">
        <v>72</v>
      </c>
      <c r="BL12" s="2191"/>
    </row>
    <row r="13" spans="1:64" ht="15" customHeight="1">
      <c r="A13" s="1255"/>
      <c r="B13" s="1649"/>
      <c r="C13" s="1935">
        <f>N65+O65+P65+(N58*N216*R216/(J216*C24))</f>
        <v>32.133598776883147</v>
      </c>
      <c r="D13" s="3378" t="s">
        <v>1574</v>
      </c>
      <c r="E13" s="3378"/>
      <c r="F13" s="3378"/>
      <c r="G13" s="3378"/>
      <c r="H13" s="3379" t="str">
        <f>IF(H12/(H11+0.001)&gt;0.81,"Too Hoppy?",IF(H12/H11&gt;0.65,"Very Hoppy",IF(H12/H11&gt;0.55,"Slightly Hoppy",IF(H12/H11&gt;0.45,"Balanced",IF(H12/H11&gt;0.35,"Slightly Malty",IF(H12/H11&gt;0.25,"Very Malty",IF((H12+0.001)/H11&gt;0,"Too Malty?")))))))</f>
        <v>Too Hoppy?</v>
      </c>
      <c r="I13" s="3582" t="s">
        <v>428</v>
      </c>
      <c r="J13" s="3583"/>
      <c r="K13" s="3583"/>
      <c r="L13" s="1187">
        <f>L14*L8/1000</f>
        <v>1.9642397769020441</v>
      </c>
      <c r="M13" s="1188"/>
      <c r="N13" s="96">
        <f>N14*N8*568.26/1000</f>
        <v>2.2323977912447113</v>
      </c>
      <c r="O13" s="1189"/>
      <c r="P13" s="1414">
        <f>P14*P8*29.57/1000</f>
        <v>1.3939816848718427</v>
      </c>
      <c r="Q13" s="2255"/>
      <c r="R13" s="2528"/>
      <c r="S13" s="1254"/>
      <c r="T13" s="197"/>
      <c r="U13" s="1650"/>
      <c r="V13" s="1652"/>
      <c r="W13" s="540"/>
      <c r="X13" s="540"/>
      <c r="Y13" s="540"/>
      <c r="Z13" s="540"/>
      <c r="AA13" s="540"/>
      <c r="AB13" s="540"/>
      <c r="AC13" s="540"/>
      <c r="AD13" s="540"/>
      <c r="AE13" s="540"/>
      <c r="AF13" s="1375"/>
      <c r="AG13" s="569"/>
      <c r="AH13" s="1098"/>
      <c r="AI13" s="1376"/>
      <c r="AJ13" s="1376"/>
      <c r="AK13" s="1376"/>
      <c r="AL13" s="1377"/>
      <c r="AM13" s="1096"/>
      <c r="AN13" s="1545"/>
      <c r="AO13" s="3188">
        <v>3</v>
      </c>
      <c r="AP13" s="3189"/>
      <c r="AQ13" s="2358">
        <f t="shared" si="5"/>
        <v>2.5</v>
      </c>
      <c r="AR13" s="3193">
        <f t="shared" si="7"/>
        <v>1.4195250000000001</v>
      </c>
      <c r="AS13" s="3194"/>
      <c r="AT13" s="2331"/>
      <c r="AU13" s="2331"/>
      <c r="AV13" s="2331"/>
      <c r="AW13" s="1096"/>
      <c r="AX13" s="1096"/>
      <c r="AY13" s="46"/>
      <c r="AZ13" s="1645" t="s">
        <v>694</v>
      </c>
      <c r="BA13" s="1384" t="s">
        <v>673</v>
      </c>
      <c r="BB13" s="1385" t="s">
        <v>674</v>
      </c>
      <c r="BC13" s="1384" t="s">
        <v>675</v>
      </c>
      <c r="BD13" s="1386">
        <v>72</v>
      </c>
      <c r="BE13" s="1386">
        <v>80</v>
      </c>
      <c r="BF13" s="2928">
        <f t="shared" si="3"/>
        <v>76</v>
      </c>
      <c r="BG13" s="1382" t="s">
        <v>688</v>
      </c>
      <c r="BH13" s="2930">
        <f t="shared" si="4"/>
        <v>20</v>
      </c>
      <c r="BI13" s="2930">
        <f t="shared" si="4"/>
        <v>22.222222222222221</v>
      </c>
      <c r="BJ13" s="2934">
        <v>68</v>
      </c>
      <c r="BK13" s="1387">
        <v>72</v>
      </c>
      <c r="BL13" s="2191"/>
    </row>
    <row r="14" spans="1:64" ht="15" customHeight="1">
      <c r="A14" s="1255"/>
      <c r="B14" s="2256"/>
      <c r="C14" s="2257">
        <f>Q65+R65+S65+(N58*N216*R216/(J216*C24))</f>
        <v>32.110089358782183</v>
      </c>
      <c r="D14" s="3388" t="s">
        <v>1568</v>
      </c>
      <c r="E14" s="3388"/>
      <c r="F14" s="3388"/>
      <c r="G14" s="3388"/>
      <c r="H14" s="3380"/>
      <c r="I14" s="3584" t="s">
        <v>152</v>
      </c>
      <c r="J14" s="3585"/>
      <c r="K14" s="3585"/>
      <c r="L14" s="1326">
        <f>G9</f>
        <v>3.9284795538040882</v>
      </c>
      <c r="M14" s="2258"/>
      <c r="N14" s="1408">
        <f>G9</f>
        <v>3.9284795538040882</v>
      </c>
      <c r="O14" s="2258"/>
      <c r="P14" s="1410">
        <f>G9</f>
        <v>3.9284795538040882</v>
      </c>
      <c r="Q14" s="2259"/>
      <c r="R14" s="2528"/>
      <c r="S14" s="1254"/>
      <c r="T14" s="197"/>
      <c r="U14" s="1099"/>
      <c r="V14" s="1652"/>
      <c r="W14" s="540"/>
      <c r="X14" s="540"/>
      <c r="Y14" s="540"/>
      <c r="Z14" s="540"/>
      <c r="AA14" s="540"/>
      <c r="AB14" s="540"/>
      <c r="AC14" s="540"/>
      <c r="AD14" s="540"/>
      <c r="AE14" s="540"/>
      <c r="AF14" s="1375"/>
      <c r="AG14" s="569"/>
      <c r="AH14" s="1098"/>
      <c r="AI14" s="1376"/>
      <c r="AJ14" s="1376"/>
      <c r="AK14" s="1376"/>
      <c r="AL14" s="1377"/>
      <c r="AM14" s="1096"/>
      <c r="AN14" s="1545"/>
      <c r="AO14" s="3188">
        <v>4</v>
      </c>
      <c r="AP14" s="3189"/>
      <c r="AQ14" s="2358">
        <f t="shared" si="5"/>
        <v>3.3333333333333335</v>
      </c>
      <c r="AR14" s="3193">
        <f t="shared" si="7"/>
        <v>1.8927</v>
      </c>
      <c r="AS14" s="3194"/>
      <c r="AT14" s="2331"/>
      <c r="AU14" s="2331"/>
      <c r="AV14" s="2331"/>
      <c r="AW14" s="1096"/>
      <c r="AX14" s="1096"/>
      <c r="AY14" s="46"/>
      <c r="AZ14" s="1645" t="s">
        <v>685</v>
      </c>
      <c r="BA14" s="1645" t="s">
        <v>673</v>
      </c>
      <c r="BB14" s="1646" t="s">
        <v>674</v>
      </c>
      <c r="BC14" s="1645" t="s">
        <v>686</v>
      </c>
      <c r="BD14" s="1647">
        <v>70</v>
      </c>
      <c r="BE14" s="1647">
        <v>75</v>
      </c>
      <c r="BF14" s="2928">
        <f t="shared" si="3"/>
        <v>72.5</v>
      </c>
      <c r="BG14" s="1653" t="s">
        <v>676</v>
      </c>
      <c r="BH14" s="2932">
        <f t="shared" si="4"/>
        <v>18.333333333333336</v>
      </c>
      <c r="BI14" s="2932">
        <f t="shared" si="4"/>
        <v>20.555555555555557</v>
      </c>
      <c r="BJ14" s="1648">
        <v>65</v>
      </c>
      <c r="BK14" s="1648">
        <v>69</v>
      </c>
      <c r="BL14" s="2191"/>
    </row>
    <row r="15" spans="1:64" ht="15" customHeight="1">
      <c r="A15" s="1255"/>
      <c r="B15" s="2254" t="s">
        <v>205</v>
      </c>
      <c r="C15" s="2249">
        <f>SUM(AL38:AL56)/$C24</f>
        <v>17.621373913043477</v>
      </c>
      <c r="D15" s="3571" t="str">
        <f>"EBC = "&amp;FIXED(0.508*C15, 1)&amp;" SRM"</f>
        <v>EBC = 9.0 SRM</v>
      </c>
      <c r="E15" s="3571"/>
      <c r="F15" s="3571"/>
      <c r="G15" s="3572"/>
      <c r="H15" s="2250">
        <v>18</v>
      </c>
      <c r="I15" s="2260" t="s">
        <v>215</v>
      </c>
      <c r="J15" s="2261"/>
      <c r="K15" s="2261"/>
      <c r="L15" s="2261"/>
      <c r="M15" s="2261"/>
      <c r="N15" s="2261"/>
      <c r="O15" s="2261"/>
      <c r="P15" s="2261"/>
      <c r="Q15" s="2262"/>
      <c r="R15" s="2528"/>
      <c r="S15" s="1254"/>
      <c r="T15" s="197"/>
      <c r="U15" s="1099"/>
      <c r="V15" s="1652"/>
      <c r="W15" s="540"/>
      <c r="X15" s="540"/>
      <c r="Y15" s="540"/>
      <c r="Z15" s="540"/>
      <c r="AA15" s="540"/>
      <c r="AB15" s="540"/>
      <c r="AC15" s="540"/>
      <c r="AD15" s="540"/>
      <c r="AE15" s="540"/>
      <c r="AF15" s="1375"/>
      <c r="AG15" s="569"/>
      <c r="AH15" s="1098"/>
      <c r="AI15" s="1376"/>
      <c r="AJ15" s="1376"/>
      <c r="AK15" s="1376"/>
      <c r="AL15" s="1377"/>
      <c r="AM15" s="1096"/>
      <c r="AN15" s="1545"/>
      <c r="AO15" s="3188">
        <v>5</v>
      </c>
      <c r="AP15" s="3189"/>
      <c r="AQ15" s="2358">
        <f t="shared" si="5"/>
        <v>4.166666666666667</v>
      </c>
      <c r="AR15" s="3193">
        <f t="shared" si="7"/>
        <v>2.365875</v>
      </c>
      <c r="AS15" s="3194"/>
      <c r="AT15" s="2331"/>
      <c r="AU15" s="2331"/>
      <c r="AV15" s="2331"/>
      <c r="AW15" s="1096"/>
      <c r="AX15" s="1096"/>
      <c r="AY15" s="46"/>
      <c r="AZ15" s="1645" t="s">
        <v>695</v>
      </c>
      <c r="BA15" s="1384" t="s">
        <v>690</v>
      </c>
      <c r="BB15" s="1385" t="s">
        <v>674</v>
      </c>
      <c r="BC15" s="1384" t="s">
        <v>675</v>
      </c>
      <c r="BD15" s="1386">
        <v>73</v>
      </c>
      <c r="BE15" s="1386">
        <v>77</v>
      </c>
      <c r="BF15" s="2928">
        <f t="shared" si="3"/>
        <v>75</v>
      </c>
      <c r="BG15" s="1397">
        <v>9</v>
      </c>
      <c r="BH15" s="2930">
        <f t="shared" si="4"/>
        <v>8.8888888888888857</v>
      </c>
      <c r="BI15" s="2930">
        <f t="shared" si="4"/>
        <v>14.444444444444443</v>
      </c>
      <c r="BJ15" s="1387">
        <v>48</v>
      </c>
      <c r="BK15" s="1387">
        <v>58</v>
      </c>
      <c r="BL15" s="2191"/>
    </row>
    <row r="16" spans="1:64" ht="15" customHeight="1">
      <c r="A16" s="1255"/>
      <c r="B16" s="1865"/>
      <c r="C16" s="72"/>
      <c r="D16" s="41"/>
      <c r="E16" s="43"/>
      <c r="F16" s="43"/>
      <c r="G16" s="43"/>
      <c r="H16" s="43"/>
      <c r="I16" s="43"/>
      <c r="J16" s="43"/>
      <c r="K16" s="43"/>
      <c r="L16" s="41"/>
      <c r="M16" s="1061"/>
      <c r="N16" s="343"/>
      <c r="O16" s="2515"/>
      <c r="P16" s="343"/>
      <c r="Q16" s="343"/>
      <c r="R16" s="2528"/>
      <c r="S16" s="1327"/>
      <c r="T16" s="197"/>
      <c r="U16" s="1097"/>
      <c r="V16" s="1097"/>
      <c r="W16" s="540"/>
      <c r="X16" s="540"/>
      <c r="Y16" s="540"/>
      <c r="Z16" s="540"/>
      <c r="AA16" s="540"/>
      <c r="AB16" s="540"/>
      <c r="AC16" s="540"/>
      <c r="AD16" s="540"/>
      <c r="AE16" s="540"/>
      <c r="AF16" s="1375"/>
      <c r="AG16" s="569"/>
      <c r="AH16" s="1098"/>
      <c r="AI16" s="1376"/>
      <c r="AJ16" s="1376"/>
      <c r="AK16" s="1376"/>
      <c r="AL16" s="1377"/>
      <c r="AM16" s="1096"/>
      <c r="AN16" s="1545"/>
      <c r="AO16" s="3182">
        <v>25</v>
      </c>
      <c r="AP16" s="3190"/>
      <c r="AQ16" s="2358">
        <f t="shared" si="5"/>
        <v>20.833333333333336</v>
      </c>
      <c r="AR16" s="3630">
        <f t="shared" si="6"/>
        <v>11.829375000000001</v>
      </c>
      <c r="AS16" s="3631"/>
      <c r="AT16" s="2331"/>
      <c r="AU16" s="2331"/>
      <c r="AV16" s="2331"/>
      <c r="AW16" s="1096"/>
      <c r="AX16" s="1096"/>
      <c r="AY16" s="46"/>
      <c r="AZ16" s="1645" t="s">
        <v>696</v>
      </c>
      <c r="BA16" s="1384" t="s">
        <v>683</v>
      </c>
      <c r="BB16" s="1385" t="s">
        <v>674</v>
      </c>
      <c r="BC16" s="1384" t="s">
        <v>697</v>
      </c>
      <c r="BD16" s="1396"/>
      <c r="BE16" s="1396"/>
      <c r="BF16" s="2928">
        <f t="shared" si="3"/>
        <v>0</v>
      </c>
      <c r="BG16" s="1397" t="s">
        <v>684</v>
      </c>
      <c r="BH16" s="2930">
        <f t="shared" ref="BH16:BH33" si="8">((BJ16+40)*5/9)-40</f>
        <v>20</v>
      </c>
      <c r="BI16" s="2930">
        <f t="shared" ref="BI16:BI33" si="9">((BK16+40)*5/9)-40</f>
        <v>22.222222222222221</v>
      </c>
      <c r="BJ16" s="2935">
        <v>68</v>
      </c>
      <c r="BK16" s="2935">
        <v>72</v>
      </c>
      <c r="BL16" s="2191"/>
    </row>
    <row r="17" spans="1:64" ht="15" customHeight="1">
      <c r="A17" s="1255"/>
      <c r="B17" s="1865"/>
      <c r="C17" s="72"/>
      <c r="D17" s="41"/>
      <c r="E17" s="43"/>
      <c r="F17" s="43"/>
      <c r="G17" s="43"/>
      <c r="H17" s="43"/>
      <c r="I17" s="43"/>
      <c r="J17" s="43"/>
      <c r="K17" s="2503"/>
      <c r="L17" s="41"/>
      <c r="M17" s="1061"/>
      <c r="N17" s="343"/>
      <c r="O17" s="2515"/>
      <c r="P17" s="343"/>
      <c r="Q17" s="343"/>
      <c r="R17" s="2528"/>
      <c r="S17" s="2528"/>
      <c r="T17" s="197"/>
      <c r="U17" s="1097"/>
      <c r="V17" s="1097"/>
      <c r="W17" s="540"/>
      <c r="X17" s="540"/>
      <c r="Y17" s="540"/>
      <c r="Z17" s="540"/>
      <c r="AA17" s="540"/>
      <c r="AB17" s="540"/>
      <c r="AC17" s="540"/>
      <c r="AD17" s="540"/>
      <c r="AE17" s="540"/>
      <c r="AF17" s="1375"/>
      <c r="AG17" s="569"/>
      <c r="AH17" s="1098"/>
      <c r="AI17" s="1376"/>
      <c r="AJ17" s="1376"/>
      <c r="AK17" s="1376"/>
      <c r="AL17" s="1377"/>
      <c r="AM17" s="1096"/>
      <c r="AN17" s="931"/>
      <c r="AO17" s="931"/>
      <c r="AP17" s="931"/>
      <c r="AQ17" s="2360"/>
      <c r="AR17" s="2360"/>
      <c r="AS17" s="931"/>
      <c r="AT17" s="2331"/>
      <c r="AU17" s="931"/>
      <c r="AV17" s="931"/>
      <c r="AW17" s="1096"/>
      <c r="AX17" s="1096"/>
      <c r="AY17" s="46"/>
      <c r="AZ17" s="1698" t="s">
        <v>698</v>
      </c>
      <c r="BA17" s="1384" t="s">
        <v>673</v>
      </c>
      <c r="BB17" s="1385" t="s">
        <v>674</v>
      </c>
      <c r="BC17" s="1384" t="s">
        <v>675</v>
      </c>
      <c r="BD17" s="1386">
        <v>75</v>
      </c>
      <c r="BE17" s="1386">
        <v>80</v>
      </c>
      <c r="BF17" s="2928">
        <f t="shared" si="3"/>
        <v>77.5</v>
      </c>
      <c r="BG17" s="1382" t="s">
        <v>676</v>
      </c>
      <c r="BH17" s="2930">
        <f t="shared" si="8"/>
        <v>10</v>
      </c>
      <c r="BI17" s="2930">
        <f t="shared" si="9"/>
        <v>12.777777777777779</v>
      </c>
      <c r="BJ17" s="2935">
        <v>50</v>
      </c>
      <c r="BK17" s="2935">
        <v>55</v>
      </c>
      <c r="BL17" s="2191"/>
    </row>
    <row r="18" spans="1:64" ht="15" customHeight="1">
      <c r="A18" s="1254"/>
      <c r="B18" s="1865"/>
      <c r="C18" s="72"/>
      <c r="D18" s="41"/>
      <c r="E18" s="43"/>
      <c r="F18" s="43"/>
      <c r="G18" s="43"/>
      <c r="H18" s="43"/>
      <c r="I18" s="43"/>
      <c r="J18" s="43"/>
      <c r="K18" s="2503"/>
      <c r="L18" s="41"/>
      <c r="M18" s="1061"/>
      <c r="N18" s="343"/>
      <c r="O18" s="2515"/>
      <c r="P18" s="343"/>
      <c r="Q18" s="343"/>
      <c r="R18" s="2528"/>
      <c r="S18" s="2528"/>
      <c r="T18" s="197"/>
      <c r="U18" s="1097"/>
      <c r="V18" s="1097"/>
      <c r="W18" s="540"/>
      <c r="X18" s="540"/>
      <c r="Y18" s="540"/>
      <c r="Z18" s="540"/>
      <c r="AA18" s="540"/>
      <c r="AB18" s="540"/>
      <c r="AC18" s="540"/>
      <c r="AD18" s="540"/>
      <c r="AE18" s="540"/>
      <c r="AF18" s="1375"/>
      <c r="AG18" s="569"/>
      <c r="AH18" s="1098"/>
      <c r="AI18" s="1376"/>
      <c r="AJ18" s="1376"/>
      <c r="AK18" s="1376"/>
      <c r="AL18" s="1377"/>
      <c r="AM18" s="1096"/>
      <c r="AN18" s="1545"/>
      <c r="AO18" s="3191" t="s">
        <v>1654</v>
      </c>
      <c r="AP18" s="3192"/>
      <c r="AQ18" s="2493" t="s">
        <v>1652</v>
      </c>
      <c r="AR18" s="3632" t="s">
        <v>1653</v>
      </c>
      <c r="AS18" s="3633"/>
      <c r="AT18" s="2331"/>
      <c r="AU18" s="2331"/>
      <c r="AV18" s="2331"/>
      <c r="AW18" s="1096"/>
      <c r="AX18" s="1096"/>
      <c r="AY18" s="46"/>
      <c r="AZ18" s="1699" t="s">
        <v>699</v>
      </c>
      <c r="BA18" s="1384" t="s">
        <v>690</v>
      </c>
      <c r="BB18" s="1385" t="s">
        <v>674</v>
      </c>
      <c r="BC18" s="1384" t="s">
        <v>686</v>
      </c>
      <c r="BD18" s="1386">
        <v>74</v>
      </c>
      <c r="BE18" s="1386">
        <v>78</v>
      </c>
      <c r="BF18" s="2928">
        <f t="shared" si="3"/>
        <v>76</v>
      </c>
      <c r="BG18" s="1397">
        <v>10</v>
      </c>
      <c r="BH18" s="2930">
        <f t="shared" si="8"/>
        <v>14.444444444444443</v>
      </c>
      <c r="BI18" s="2930">
        <f t="shared" si="9"/>
        <v>23.333333333333336</v>
      </c>
      <c r="BJ18" s="2935">
        <v>58</v>
      </c>
      <c r="BK18" s="2935">
        <v>74</v>
      </c>
      <c r="BL18" s="2191"/>
    </row>
    <row r="19" spans="1:64" ht="15" customHeight="1">
      <c r="A19" s="2521"/>
      <c r="B19" s="1865"/>
      <c r="C19" s="72"/>
      <c r="D19" s="41"/>
      <c r="E19" s="43"/>
      <c r="F19" s="43"/>
      <c r="G19" s="43"/>
      <c r="H19" s="43"/>
      <c r="I19" s="43"/>
      <c r="J19" s="43"/>
      <c r="K19" s="2503"/>
      <c r="L19" s="41"/>
      <c r="M19" s="1061"/>
      <c r="N19" s="343"/>
      <c r="O19" s="2515"/>
      <c r="P19" s="343"/>
      <c r="Q19" s="343"/>
      <c r="R19" s="2528"/>
      <c r="S19" s="2528"/>
      <c r="T19" s="197"/>
      <c r="U19" s="1097"/>
      <c r="V19" s="1097"/>
      <c r="W19" s="540"/>
      <c r="X19" s="540"/>
      <c r="Y19" s="540"/>
      <c r="Z19" s="540"/>
      <c r="AA19" s="540"/>
      <c r="AB19" s="540"/>
      <c r="AC19" s="540"/>
      <c r="AD19" s="1098"/>
      <c r="AE19" s="540"/>
      <c r="AF19" s="1375"/>
      <c r="AG19" s="569"/>
      <c r="AH19" s="1098"/>
      <c r="AI19" s="1376"/>
      <c r="AJ19" s="1376"/>
      <c r="AK19" s="1376"/>
      <c r="AL19" s="1377"/>
      <c r="AM19" s="1096"/>
      <c r="AN19" s="1545"/>
      <c r="AO19" s="3188">
        <v>1</v>
      </c>
      <c r="AP19" s="3189"/>
      <c r="AQ19" s="2358">
        <f t="shared" ref="AQ19:AQ24" si="10">AR19*(5/6)</f>
        <v>1.7611524981948188</v>
      </c>
      <c r="AR19" s="3634">
        <f t="shared" ref="AR19" si="11">8*AO19/3.7854</f>
        <v>2.1133829978337824</v>
      </c>
      <c r="AS19" s="3635"/>
      <c r="AT19" s="2331"/>
      <c r="AU19" s="931"/>
      <c r="AV19" s="931"/>
      <c r="AW19" s="1096"/>
      <c r="AX19" s="1096"/>
      <c r="AY19" s="46"/>
      <c r="AZ19" s="1700" t="s">
        <v>700</v>
      </c>
      <c r="BA19" s="1384" t="s">
        <v>673</v>
      </c>
      <c r="BB19" s="1385" t="s">
        <v>674</v>
      </c>
      <c r="BC19" s="1384" t="s">
        <v>675</v>
      </c>
      <c r="BD19" s="1386">
        <v>73</v>
      </c>
      <c r="BE19" s="1386">
        <v>80</v>
      </c>
      <c r="BF19" s="2928">
        <f t="shared" si="3"/>
        <v>76.5</v>
      </c>
      <c r="BG19" s="1382" t="s">
        <v>676</v>
      </c>
      <c r="BH19" s="2930">
        <f t="shared" si="8"/>
        <v>19.444444444444443</v>
      </c>
      <c r="BI19" s="2930">
        <f t="shared" si="9"/>
        <v>21.111111111111114</v>
      </c>
      <c r="BJ19" s="2935">
        <v>67</v>
      </c>
      <c r="BK19" s="2935">
        <v>70</v>
      </c>
      <c r="BL19" s="2191"/>
    </row>
    <row r="20" spans="1:64" ht="15" customHeight="1">
      <c r="A20" s="2521"/>
      <c r="B20" s="1865"/>
      <c r="C20" s="72"/>
      <c r="D20" s="41"/>
      <c r="E20" s="43"/>
      <c r="F20" s="43"/>
      <c r="G20" s="43"/>
      <c r="H20" s="43"/>
      <c r="I20" s="43"/>
      <c r="J20" s="43"/>
      <c r="K20" s="2503"/>
      <c r="L20" s="41"/>
      <c r="M20" s="1061"/>
      <c r="N20" s="343"/>
      <c r="O20" s="2515"/>
      <c r="P20" s="343"/>
      <c r="Q20" s="343"/>
      <c r="R20" s="2528"/>
      <c r="S20" s="2528"/>
      <c r="T20" s="197"/>
      <c r="U20" s="1097"/>
      <c r="V20" s="1097"/>
      <c r="W20" s="540"/>
      <c r="X20" s="540"/>
      <c r="Y20" s="540"/>
      <c r="Z20" s="540"/>
      <c r="AA20" s="540"/>
      <c r="AB20" s="540"/>
      <c r="AC20" s="540"/>
      <c r="AD20" s="1098"/>
      <c r="AE20" s="1098"/>
      <c r="AF20" s="1375"/>
      <c r="AG20" s="569"/>
      <c r="AH20" s="1098"/>
      <c r="AI20" s="1376"/>
      <c r="AJ20" s="1376"/>
      <c r="AK20" s="1376"/>
      <c r="AL20" s="1377"/>
      <c r="AM20" s="1096"/>
      <c r="AN20" s="1545"/>
      <c r="AO20" s="3188">
        <v>2</v>
      </c>
      <c r="AP20" s="3189"/>
      <c r="AQ20" s="2358">
        <f t="shared" si="10"/>
        <v>3.5223049963896376</v>
      </c>
      <c r="AR20" s="3634">
        <f t="shared" ref="AR20:AR24" si="12">8*AO20/3.7854</f>
        <v>4.2267659956675647</v>
      </c>
      <c r="AS20" s="3635"/>
      <c r="AT20" s="2331"/>
      <c r="AU20" s="2331"/>
      <c r="AV20" s="2331"/>
      <c r="AW20" s="1096"/>
      <c r="AX20" s="1096"/>
      <c r="AY20" s="46"/>
      <c r="AZ20" s="1645" t="s">
        <v>701</v>
      </c>
      <c r="BA20" s="1384" t="s">
        <v>673</v>
      </c>
      <c r="BB20" s="1385" t="s">
        <v>674</v>
      </c>
      <c r="BC20" s="1384" t="s">
        <v>670</v>
      </c>
      <c r="BD20" s="1386">
        <v>70</v>
      </c>
      <c r="BE20" s="1386">
        <v>75</v>
      </c>
      <c r="BF20" s="2928">
        <f t="shared" si="3"/>
        <v>72.5</v>
      </c>
      <c r="BG20" s="1382" t="s">
        <v>702</v>
      </c>
      <c r="BH20" s="2930">
        <f t="shared" si="8"/>
        <v>18.333333333333336</v>
      </c>
      <c r="BI20" s="2930">
        <f t="shared" si="9"/>
        <v>21.111111111111114</v>
      </c>
      <c r="BJ20" s="2935">
        <v>65</v>
      </c>
      <c r="BK20" s="2935">
        <v>70</v>
      </c>
      <c r="BL20" s="2191"/>
    </row>
    <row r="21" spans="1:64" ht="15" customHeight="1">
      <c r="A21" s="2521"/>
      <c r="B21" s="1865"/>
      <c r="C21" s="72"/>
      <c r="D21" s="41"/>
      <c r="E21" s="43"/>
      <c r="F21" s="43"/>
      <c r="G21" s="43"/>
      <c r="H21" s="43"/>
      <c r="I21" s="43"/>
      <c r="J21" s="43"/>
      <c r="K21" s="2503"/>
      <c r="L21" s="41"/>
      <c r="M21" s="1061"/>
      <c r="N21" s="343"/>
      <c r="O21" s="2515"/>
      <c r="P21" s="343"/>
      <c r="Q21" s="343"/>
      <c r="R21" s="2528"/>
      <c r="S21" s="2528"/>
      <c r="T21" s="197"/>
      <c r="U21" s="1097"/>
      <c r="V21" s="1097"/>
      <c r="W21" s="540"/>
      <c r="X21" s="540"/>
      <c r="Y21" s="540"/>
      <c r="Z21" s="540"/>
      <c r="AA21" s="540"/>
      <c r="AB21" s="540"/>
      <c r="AC21" s="540"/>
      <c r="AD21" s="1098"/>
      <c r="AE21" s="1098"/>
      <c r="AF21" s="1375"/>
      <c r="AG21" s="569"/>
      <c r="AH21" s="1098"/>
      <c r="AI21" s="1376"/>
      <c r="AJ21" s="1376"/>
      <c r="AK21" s="1376"/>
      <c r="AL21" s="1377"/>
      <c r="AM21" s="1096"/>
      <c r="AN21" s="1545"/>
      <c r="AO21" s="3188">
        <v>3</v>
      </c>
      <c r="AP21" s="3189"/>
      <c r="AQ21" s="2358">
        <f t="shared" si="10"/>
        <v>5.2834574945844563</v>
      </c>
      <c r="AR21" s="3634">
        <f t="shared" si="12"/>
        <v>6.3401489935013471</v>
      </c>
      <c r="AS21" s="3635"/>
      <c r="AT21" s="2331"/>
      <c r="AU21" s="2331"/>
      <c r="AV21" s="2331"/>
      <c r="AW21" s="1096"/>
      <c r="AX21" s="1096"/>
      <c r="AY21" s="46"/>
      <c r="AZ21" s="1645" t="s">
        <v>703</v>
      </c>
      <c r="BA21" s="1384" t="s">
        <v>673</v>
      </c>
      <c r="BB21" s="1385" t="s">
        <v>674</v>
      </c>
      <c r="BC21" s="1384" t="s">
        <v>675</v>
      </c>
      <c r="BD21" s="1386">
        <v>74</v>
      </c>
      <c r="BE21" s="1386">
        <v>80</v>
      </c>
      <c r="BF21" s="2928">
        <f t="shared" si="3"/>
        <v>77</v>
      </c>
      <c r="BG21" s="1382" t="s">
        <v>679</v>
      </c>
      <c r="BH21" s="2930">
        <f t="shared" si="8"/>
        <v>20</v>
      </c>
      <c r="BI21" s="2930">
        <f t="shared" si="9"/>
        <v>22.222222222222221</v>
      </c>
      <c r="BJ21" s="2934">
        <v>68</v>
      </c>
      <c r="BK21" s="2934">
        <v>72</v>
      </c>
      <c r="BL21" s="2191"/>
    </row>
    <row r="22" spans="1:64" ht="15" customHeight="1">
      <c r="A22" s="3369" t="s">
        <v>194</v>
      </c>
      <c r="B22" s="3369"/>
      <c r="C22" s="3369"/>
      <c r="D22" s="3573" t="s">
        <v>304</v>
      </c>
      <c r="E22" s="3573"/>
      <c r="F22" s="3573"/>
      <c r="G22" s="3573"/>
      <c r="H22" s="3573"/>
      <c r="I22" s="3573"/>
      <c r="J22" s="3574" t="s">
        <v>1110</v>
      </c>
      <c r="K22" s="3574"/>
      <c r="L22" s="3574"/>
      <c r="M22" s="3574"/>
      <c r="N22" s="1331"/>
      <c r="O22" s="1103"/>
      <c r="P22" s="1103"/>
      <c r="Q22" s="1103"/>
      <c r="R22" s="2861"/>
      <c r="S22" s="2861"/>
      <c r="T22" s="197"/>
      <c r="U22" s="1097"/>
      <c r="V22" s="2544"/>
      <c r="W22" s="540"/>
      <c r="X22" s="540"/>
      <c r="Y22" s="540"/>
      <c r="Z22" s="540"/>
      <c r="AA22" s="540"/>
      <c r="AB22" s="540"/>
      <c r="AC22" s="540"/>
      <c r="AD22" s="1098"/>
      <c r="AE22" s="1098"/>
      <c r="AF22" s="1375"/>
      <c r="AG22" s="569"/>
      <c r="AH22" s="1098"/>
      <c r="AI22" s="1376"/>
      <c r="AJ22" s="1376"/>
      <c r="AK22" s="1376"/>
      <c r="AL22" s="1377"/>
      <c r="AM22" s="1096"/>
      <c r="AN22" s="1545"/>
      <c r="AO22" s="3188">
        <v>4</v>
      </c>
      <c r="AP22" s="3189"/>
      <c r="AQ22" s="2358">
        <f t="shared" si="10"/>
        <v>7.0446099927792751</v>
      </c>
      <c r="AR22" s="3634">
        <f t="shared" si="12"/>
        <v>8.4535319913351294</v>
      </c>
      <c r="AS22" s="3635"/>
      <c r="AT22" s="2331"/>
      <c r="AU22" s="2331"/>
      <c r="AV22" s="2331"/>
      <c r="AW22" s="1096"/>
      <c r="AX22" s="1096"/>
      <c r="AY22" s="46"/>
      <c r="AZ22" s="1645" t="s">
        <v>704</v>
      </c>
      <c r="BA22" s="1384" t="s">
        <v>690</v>
      </c>
      <c r="BB22" s="1385" t="s">
        <v>674</v>
      </c>
      <c r="BC22" s="1384" t="s">
        <v>678</v>
      </c>
      <c r="BD22" s="1386">
        <v>73</v>
      </c>
      <c r="BE22" s="1386">
        <v>77</v>
      </c>
      <c r="BF22" s="2928">
        <f t="shared" si="3"/>
        <v>75</v>
      </c>
      <c r="BG22" s="1397">
        <v>9</v>
      </c>
      <c r="BH22" s="2930">
        <f t="shared" si="8"/>
        <v>7.7777777777777786</v>
      </c>
      <c r="BI22" s="2930">
        <f t="shared" si="9"/>
        <v>14.444444444444443</v>
      </c>
      <c r="BJ22" s="2935">
        <v>46</v>
      </c>
      <c r="BK22" s="2935">
        <v>58</v>
      </c>
      <c r="BL22" s="2191"/>
    </row>
    <row r="23" spans="1:64" ht="15" customHeight="1">
      <c r="A23" s="2521"/>
      <c r="B23" s="1101"/>
      <c r="C23" s="2539"/>
      <c r="D23" s="2622"/>
      <c r="E23" s="2622"/>
      <c r="F23" s="2622"/>
      <c r="G23" s="2622"/>
      <c r="H23" s="2622"/>
      <c r="I23" s="1329"/>
      <c r="J23" s="3575" t="s">
        <v>1111</v>
      </c>
      <c r="K23" s="3575"/>
      <c r="L23" s="3576" t="s">
        <v>1112</v>
      </c>
      <c r="M23" s="3576"/>
      <c r="N23" s="3576"/>
      <c r="O23" s="3576"/>
      <c r="P23" s="3576"/>
      <c r="Q23" s="3577"/>
      <c r="R23" s="1666"/>
      <c r="S23" s="2861"/>
      <c r="T23" s="197"/>
      <c r="U23" s="1097"/>
      <c r="V23" s="2626"/>
      <c r="W23" s="540"/>
      <c r="X23" s="540"/>
      <c r="Y23" s="540"/>
      <c r="Z23" s="540"/>
      <c r="AA23" s="540"/>
      <c r="AB23" s="540"/>
      <c r="AC23" s="540"/>
      <c r="AD23" s="1098"/>
      <c r="AE23" s="1098"/>
      <c r="AF23" s="1375"/>
      <c r="AG23" s="569"/>
      <c r="AH23" s="1098"/>
      <c r="AI23" s="1376"/>
      <c r="AJ23" s="1376"/>
      <c r="AK23" s="1376"/>
      <c r="AL23" s="1377"/>
      <c r="AM23" s="1096"/>
      <c r="AN23" s="1545"/>
      <c r="AO23" s="3188">
        <v>5</v>
      </c>
      <c r="AP23" s="3189"/>
      <c r="AQ23" s="2358">
        <f t="shared" si="10"/>
        <v>8.8057624909740948</v>
      </c>
      <c r="AR23" s="3634">
        <f t="shared" si="12"/>
        <v>10.566914989168913</v>
      </c>
      <c r="AS23" s="3635"/>
      <c r="AT23" s="2331"/>
      <c r="AU23" s="2331"/>
      <c r="AV23" s="2331"/>
      <c r="AW23" s="1096"/>
      <c r="AX23" s="1096"/>
      <c r="AY23" s="46"/>
      <c r="AZ23" s="1645" t="s">
        <v>705</v>
      </c>
      <c r="BA23" s="1384" t="s">
        <v>673</v>
      </c>
      <c r="BB23" s="1385" t="s">
        <v>674</v>
      </c>
      <c r="BC23" s="1384" t="s">
        <v>686</v>
      </c>
      <c r="BD23" s="1386">
        <v>73</v>
      </c>
      <c r="BE23" s="1386">
        <v>77</v>
      </c>
      <c r="BF23" s="2928">
        <f t="shared" si="3"/>
        <v>75</v>
      </c>
      <c r="BG23" s="1382" t="s">
        <v>676</v>
      </c>
      <c r="BH23" s="2930">
        <f t="shared" si="8"/>
        <v>10</v>
      </c>
      <c r="BI23" s="2930">
        <f t="shared" si="9"/>
        <v>12.777777777777779</v>
      </c>
      <c r="BJ23" s="1387">
        <v>50</v>
      </c>
      <c r="BK23" s="1387">
        <v>55</v>
      </c>
      <c r="BL23" s="2191"/>
    </row>
    <row r="24" spans="1:64" ht="15" customHeight="1">
      <c r="A24" s="2521"/>
      <c r="B24" s="2583" t="s">
        <v>137</v>
      </c>
      <c r="C24" s="213">
        <v>23</v>
      </c>
      <c r="D24" s="3564" t="str">
        <f>" = "&amp;FIXED(C24*1.76)&amp;" UK pt. &amp; "&amp;FIXED(C24*1.76*6/5)&amp;" US pt."</f>
        <v xml:space="preserve"> = 40.48 UK pt. &amp; 48.58 US pt.</v>
      </c>
      <c r="E24" s="3564"/>
      <c r="F24" s="3564"/>
      <c r="G24" s="1328"/>
      <c r="H24" s="1328"/>
      <c r="I24" s="1254"/>
      <c r="J24" s="1254"/>
      <c r="K24" s="1254"/>
      <c r="L24" s="3565" t="s">
        <v>1113</v>
      </c>
      <c r="M24" s="3565"/>
      <c r="N24" s="3565"/>
      <c r="O24" s="3565"/>
      <c r="P24" s="3565"/>
      <c r="Q24" s="3566"/>
      <c r="R24" s="1666"/>
      <c r="S24" s="2861"/>
      <c r="T24" s="197"/>
      <c r="U24" s="1097"/>
      <c r="V24" s="46"/>
      <c r="W24" s="540"/>
      <c r="X24" s="540"/>
      <c r="Y24" s="540"/>
      <c r="Z24" s="540"/>
      <c r="AA24" s="540"/>
      <c r="AB24" s="540"/>
      <c r="AC24" s="540"/>
      <c r="AD24" s="540"/>
      <c r="AE24" s="540"/>
      <c r="AF24" s="1375"/>
      <c r="AG24" s="569"/>
      <c r="AH24" s="1098"/>
      <c r="AI24" s="1376"/>
      <c r="AJ24" s="1376"/>
      <c r="AK24" s="1376"/>
      <c r="AL24" s="1377"/>
      <c r="AM24" s="1096"/>
      <c r="AN24" s="1545"/>
      <c r="AO24" s="3188">
        <v>10</v>
      </c>
      <c r="AP24" s="3189"/>
      <c r="AQ24" s="2358">
        <f t="shared" si="10"/>
        <v>17.61152498194819</v>
      </c>
      <c r="AR24" s="3634">
        <f t="shared" si="12"/>
        <v>21.133829978337825</v>
      </c>
      <c r="AS24" s="3635"/>
      <c r="AT24" s="2331"/>
      <c r="AU24" s="2331"/>
      <c r="AV24" s="2331"/>
      <c r="AW24" s="1096"/>
      <c r="AX24" s="1096"/>
      <c r="AY24" s="46"/>
      <c r="AZ24" s="1645" t="s">
        <v>706</v>
      </c>
      <c r="BA24" s="1384" t="s">
        <v>683</v>
      </c>
      <c r="BB24" s="1385" t="s">
        <v>674</v>
      </c>
      <c r="BC24" s="1384" t="s">
        <v>670</v>
      </c>
      <c r="BD24" s="1396"/>
      <c r="BE24" s="1396"/>
      <c r="BF24" s="2928">
        <f t="shared" si="3"/>
        <v>0</v>
      </c>
      <c r="BG24" s="1397" t="s">
        <v>684</v>
      </c>
      <c r="BH24" s="2930">
        <f t="shared" si="8"/>
        <v>10</v>
      </c>
      <c r="BI24" s="2930">
        <f t="shared" si="9"/>
        <v>13.888888888888886</v>
      </c>
      <c r="BJ24" s="1417">
        <v>50</v>
      </c>
      <c r="BK24" s="1417">
        <v>57</v>
      </c>
      <c r="BL24" s="2191"/>
    </row>
    <row r="25" spans="1:64" ht="15" customHeight="1">
      <c r="A25" s="2521"/>
      <c r="B25" s="1102" t="s">
        <v>958</v>
      </c>
      <c r="C25" s="63">
        <v>75</v>
      </c>
      <c r="D25" s="3567" t="s">
        <v>1641</v>
      </c>
      <c r="E25" s="3567"/>
      <c r="F25" s="3567"/>
      <c r="G25" s="3567"/>
      <c r="H25" s="3567"/>
      <c r="I25" s="3567"/>
      <c r="J25" s="1254"/>
      <c r="K25" s="1420"/>
      <c r="L25" s="3566" t="s">
        <v>1114</v>
      </c>
      <c r="M25" s="3566"/>
      <c r="N25" s="3566"/>
      <c r="O25" s="3566"/>
      <c r="P25" s="3566"/>
      <c r="Q25" s="3566"/>
      <c r="R25" s="1666"/>
      <c r="S25" s="2861"/>
      <c r="T25" s="197"/>
      <c r="U25" s="1097"/>
      <c r="V25" s="46"/>
      <c r="W25" s="540"/>
      <c r="X25" s="540"/>
      <c r="Y25" s="540"/>
      <c r="Z25" s="540"/>
      <c r="AA25" s="540"/>
      <c r="AB25" s="540"/>
      <c r="AC25" s="540"/>
      <c r="AD25" s="540"/>
      <c r="AE25" s="540"/>
      <c r="AF25" s="1375"/>
      <c r="AG25" s="569"/>
      <c r="AH25" s="1098"/>
      <c r="AI25" s="1376"/>
      <c r="AJ25" s="1376"/>
      <c r="AK25" s="1376"/>
      <c r="AL25" s="1377"/>
      <c r="AM25" s="1096"/>
      <c r="AN25" s="1545"/>
      <c r="AO25" s="931"/>
      <c r="AP25" s="931"/>
      <c r="AQ25" s="981"/>
      <c r="AR25" s="981"/>
      <c r="AS25" s="931"/>
      <c r="AT25" s="2331"/>
      <c r="AU25" s="2331"/>
      <c r="AV25" s="2331"/>
      <c r="AW25" s="1096"/>
      <c r="AX25" s="1096"/>
      <c r="AY25" s="46"/>
      <c r="AZ25" s="1698" t="s">
        <v>707</v>
      </c>
      <c r="BA25" s="1384" t="s">
        <v>690</v>
      </c>
      <c r="BB25" s="1385" t="s">
        <v>674</v>
      </c>
      <c r="BC25" s="1384" t="s">
        <v>686</v>
      </c>
      <c r="BD25" s="1386">
        <v>70</v>
      </c>
      <c r="BE25" s="1386">
        <v>76</v>
      </c>
      <c r="BF25" s="2928">
        <f t="shared" si="3"/>
        <v>73</v>
      </c>
      <c r="BG25" s="1397">
        <v>10</v>
      </c>
      <c r="BH25" s="2930">
        <f t="shared" si="8"/>
        <v>19.444444444444443</v>
      </c>
      <c r="BI25" s="2930">
        <f t="shared" si="9"/>
        <v>21.111111111111114</v>
      </c>
      <c r="BJ25" s="1387">
        <v>67</v>
      </c>
      <c r="BK25" s="1387">
        <v>70</v>
      </c>
      <c r="BL25" s="2191"/>
    </row>
    <row r="26" spans="1:64" ht="15" customHeight="1">
      <c r="A26" s="2521"/>
      <c r="B26" s="1418" t="s">
        <v>199</v>
      </c>
      <c r="C26" s="63">
        <v>20</v>
      </c>
      <c r="D26" s="3568" t="s">
        <v>1593</v>
      </c>
      <c r="E26" s="3568"/>
      <c r="F26" s="1416"/>
      <c r="G26" s="1416"/>
      <c r="H26" s="2803"/>
      <c r="I26" s="1418"/>
      <c r="J26" s="1254"/>
      <c r="K26" s="2291" t="s">
        <v>1622</v>
      </c>
      <c r="L26" s="2292">
        <v>3.15</v>
      </c>
      <c r="M26" s="2294" t="s">
        <v>1624</v>
      </c>
      <c r="N26" s="3578" t="str">
        <f>FIXED((L26*0.0200448),3)&amp;" oz / Imp pint"</f>
        <v>0.063 oz / Imp pint</v>
      </c>
      <c r="O26" s="3578"/>
      <c r="P26" s="3578"/>
      <c r="Q26" s="3578"/>
      <c r="R26" s="2861"/>
      <c r="S26" s="2861"/>
      <c r="T26" s="197"/>
      <c r="U26" s="1097"/>
      <c r="V26" s="46"/>
      <c r="W26" s="540"/>
      <c r="X26" s="540"/>
      <c r="Y26" s="540"/>
      <c r="Z26" s="540"/>
      <c r="AA26" s="540"/>
      <c r="AB26" s="540"/>
      <c r="AC26" s="540"/>
      <c r="AD26" s="540"/>
      <c r="AE26" s="540"/>
      <c r="AF26" s="1375"/>
      <c r="AG26" s="569"/>
      <c r="AH26" s="1098"/>
      <c r="AI26" s="1376"/>
      <c r="AJ26" s="1376"/>
      <c r="AK26" s="1376"/>
      <c r="AL26" s="1377"/>
      <c r="AM26" s="1096"/>
      <c r="AN26" s="3202" t="s">
        <v>1655</v>
      </c>
      <c r="AO26" s="3202"/>
      <c r="AP26" s="2330"/>
      <c r="AQ26" s="2330"/>
      <c r="AR26" s="1096"/>
      <c r="AS26" s="1096"/>
      <c r="AT26" s="1096"/>
      <c r="AU26" s="1096"/>
      <c r="AV26" s="1096"/>
      <c r="AW26" s="1096"/>
      <c r="AX26" s="1096"/>
      <c r="AY26" s="46"/>
      <c r="AZ26" s="1645" t="s">
        <v>708</v>
      </c>
      <c r="BA26" s="1384" t="s">
        <v>690</v>
      </c>
      <c r="BB26" s="1385" t="s">
        <v>674</v>
      </c>
      <c r="BC26" s="1384" t="s">
        <v>675</v>
      </c>
      <c r="BD26" s="1386">
        <v>73</v>
      </c>
      <c r="BE26" s="1386">
        <v>77</v>
      </c>
      <c r="BF26" s="2928">
        <f t="shared" si="3"/>
        <v>75</v>
      </c>
      <c r="BG26" s="1397">
        <v>10</v>
      </c>
      <c r="BH26" s="2930">
        <f t="shared" si="8"/>
        <v>18.333333333333336</v>
      </c>
      <c r="BI26" s="2930">
        <f t="shared" si="9"/>
        <v>21.111111111111114</v>
      </c>
      <c r="BJ26" s="1387">
        <v>65</v>
      </c>
      <c r="BK26" s="1387">
        <v>70</v>
      </c>
      <c r="BL26" s="2191"/>
    </row>
    <row r="27" spans="1:64" ht="15" customHeight="1">
      <c r="A27" s="2521"/>
      <c r="B27" s="1790"/>
      <c r="C27" s="1790"/>
      <c r="D27" s="1790"/>
      <c r="E27" s="1790"/>
      <c r="F27" s="1790"/>
      <c r="G27" s="1790"/>
      <c r="H27" s="1418"/>
      <c r="I27" s="1418"/>
      <c r="J27" s="1254"/>
      <c r="K27" s="1420"/>
      <c r="L27" s="2291"/>
      <c r="M27" s="2291" t="s">
        <v>1623</v>
      </c>
      <c r="N27" s="3578" t="str">
        <f>FIXED((L26*0.0200448/1.2),3)&amp;" oz / US pint"</f>
        <v>0.053 oz / US pint</v>
      </c>
      <c r="O27" s="3578"/>
      <c r="P27" s="2294"/>
      <c r="Q27" s="1416"/>
      <c r="R27" s="2861"/>
      <c r="S27" s="2861"/>
      <c r="T27" s="197"/>
      <c r="U27" s="1097"/>
      <c r="V27" s="46"/>
      <c r="W27" s="540"/>
      <c r="X27" s="540"/>
      <c r="Y27" s="540"/>
      <c r="Z27" s="540"/>
      <c r="AA27" s="540"/>
      <c r="AB27" s="540"/>
      <c r="AC27" s="540"/>
      <c r="AD27" s="540"/>
      <c r="AE27" s="540"/>
      <c r="AF27" s="1375"/>
      <c r="AG27" s="569"/>
      <c r="AH27" s="1098"/>
      <c r="AI27" s="1376"/>
      <c r="AJ27" s="1376"/>
      <c r="AK27" s="1376"/>
      <c r="AL27" s="1377"/>
      <c r="AM27" s="1096"/>
      <c r="AN27" s="1545"/>
      <c r="AO27" s="2046" t="s">
        <v>133</v>
      </c>
      <c r="AP27" s="3172" t="s">
        <v>23</v>
      </c>
      <c r="AQ27" s="3173"/>
      <c r="AR27" s="3171" t="s">
        <v>1657</v>
      </c>
      <c r="AS27" s="3172"/>
      <c r="AT27" s="3173"/>
      <c r="AU27" s="3171" t="s">
        <v>981</v>
      </c>
      <c r="AV27" s="3173"/>
      <c r="AW27" s="1096"/>
      <c r="AX27" s="1096"/>
      <c r="AY27" s="46"/>
      <c r="AZ27" s="1645" t="s">
        <v>709</v>
      </c>
      <c r="BA27" s="1384" t="s">
        <v>673</v>
      </c>
      <c r="BB27" s="1385" t="s">
        <v>674</v>
      </c>
      <c r="BC27" s="1384" t="s">
        <v>670</v>
      </c>
      <c r="BD27" s="1386">
        <v>72</v>
      </c>
      <c r="BE27" s="1386">
        <v>80</v>
      </c>
      <c r="BF27" s="2928">
        <f t="shared" si="3"/>
        <v>76</v>
      </c>
      <c r="BG27" s="1382" t="s">
        <v>676</v>
      </c>
      <c r="BH27" s="2930">
        <f t="shared" si="8"/>
        <v>18.888888888888886</v>
      </c>
      <c r="BI27" s="2930">
        <f t="shared" si="9"/>
        <v>22.222222222222221</v>
      </c>
      <c r="BJ27" s="1387">
        <v>66</v>
      </c>
      <c r="BK27" s="1387">
        <v>72</v>
      </c>
      <c r="BL27" s="2191"/>
    </row>
    <row r="28" spans="1:64" ht="15" customHeight="1">
      <c r="A28" s="2521"/>
      <c r="B28" s="1254"/>
      <c r="C28" s="1420"/>
      <c r="D28" s="1254"/>
      <c r="E28" s="1254"/>
      <c r="F28" s="1254"/>
      <c r="G28" s="1254"/>
      <c r="H28" s="1418"/>
      <c r="I28" s="1790"/>
      <c r="J28" s="1254"/>
      <c r="K28" s="1420"/>
      <c r="L28" s="2293"/>
      <c r="M28" s="2293"/>
      <c r="N28" s="2293"/>
      <c r="O28" s="2294"/>
      <c r="P28" s="2294"/>
      <c r="Q28" s="2295"/>
      <c r="R28" s="2861"/>
      <c r="S28" s="2861"/>
      <c r="T28" s="197"/>
      <c r="U28" s="1097"/>
      <c r="V28" s="46"/>
      <c r="W28" s="540"/>
      <c r="X28" s="540"/>
      <c r="Y28" s="540"/>
      <c r="Z28" s="540"/>
      <c r="AA28" s="540"/>
      <c r="AB28" s="540"/>
      <c r="AC28" s="540"/>
      <c r="AD28" s="540"/>
      <c r="AE28" s="540"/>
      <c r="AF28" s="1375"/>
      <c r="AG28" s="569"/>
      <c r="AH28" s="1098"/>
      <c r="AI28" s="1376"/>
      <c r="AJ28" s="1376"/>
      <c r="AK28" s="1376"/>
      <c r="AL28" s="1377"/>
      <c r="AM28" s="1096"/>
      <c r="AN28" s="1545"/>
      <c r="AO28" s="2047">
        <v>1</v>
      </c>
      <c r="AP28" s="3176">
        <f t="shared" ref="AP28:AP31" si="13">16*AU28</f>
        <v>3.5273368606701938E-2</v>
      </c>
      <c r="AQ28" s="3177"/>
      <c r="AR28" s="3178" t="str">
        <f t="shared" ref="AR28:AR31" si="14">INT(AP28/16)&amp;" lb. "&amp;FIXED(AP28-16*INT(AP28/16),3)</f>
        <v>0 lb. 0.035</v>
      </c>
      <c r="AS28" s="3179"/>
      <c r="AT28" s="3180"/>
      <c r="AU28" s="3181">
        <f t="shared" ref="AU28:AU33" si="15">AO28/(1000*0.4536)</f>
        <v>2.2045855379188711E-3</v>
      </c>
      <c r="AV28" s="3180"/>
      <c r="AW28" s="1096"/>
      <c r="AX28" s="1096"/>
      <c r="AY28" s="46"/>
      <c r="AZ28" s="1645" t="s">
        <v>710</v>
      </c>
      <c r="BA28" s="1384" t="s">
        <v>690</v>
      </c>
      <c r="BB28" s="1385" t="s">
        <v>674</v>
      </c>
      <c r="BC28" s="1384" t="s">
        <v>711</v>
      </c>
      <c r="BD28" s="1386">
        <v>74</v>
      </c>
      <c r="BE28" s="1386">
        <v>78</v>
      </c>
      <c r="BF28" s="2928">
        <f t="shared" si="3"/>
        <v>76</v>
      </c>
      <c r="BG28" s="1397">
        <v>12</v>
      </c>
      <c r="BH28" s="2930">
        <f t="shared" si="8"/>
        <v>7.7777777777777786</v>
      </c>
      <c r="BI28" s="2930">
        <f t="shared" si="9"/>
        <v>14.444444444444443</v>
      </c>
      <c r="BJ28" s="1387">
        <v>46</v>
      </c>
      <c r="BK28" s="1387">
        <v>58</v>
      </c>
      <c r="BL28" s="2191"/>
    </row>
    <row r="29" spans="1:64" ht="15" customHeight="1">
      <c r="A29" s="3569" t="s">
        <v>1550</v>
      </c>
      <c r="B29" s="3569"/>
      <c r="C29" s="3569"/>
      <c r="D29" s="231">
        <v>3.15</v>
      </c>
      <c r="E29" s="2615" t="str">
        <f>"g = "&amp;FIXED((D29*0.035274),4)&amp;" oz"</f>
        <v>g = 0.1111 oz</v>
      </c>
      <c r="F29" s="1254"/>
      <c r="G29" s="1254"/>
      <c r="H29" s="3570" t="s">
        <v>1552</v>
      </c>
      <c r="I29" s="3570"/>
      <c r="J29" s="3570"/>
      <c r="K29" s="3570"/>
      <c r="L29" s="1782"/>
      <c r="M29" s="1097"/>
      <c r="N29" s="3570" t="s">
        <v>1553</v>
      </c>
      <c r="O29" s="3570"/>
      <c r="P29" s="3570"/>
      <c r="Q29" s="3570"/>
      <c r="R29" s="2861"/>
      <c r="S29" s="2861"/>
      <c r="T29" s="197"/>
      <c r="U29" s="1097"/>
      <c r="V29" s="46"/>
      <c r="W29" s="1098"/>
      <c r="X29" s="1098"/>
      <c r="Y29" s="1098"/>
      <c r="Z29" s="1098"/>
      <c r="AA29" s="1098"/>
      <c r="AB29" s="540"/>
      <c r="AC29" s="540"/>
      <c r="AD29" s="540"/>
      <c r="AE29" s="540"/>
      <c r="AF29" s="1375"/>
      <c r="AG29" s="569"/>
      <c r="AH29" s="1098"/>
      <c r="AI29" s="1376"/>
      <c r="AJ29" s="1376"/>
      <c r="AK29" s="1376"/>
      <c r="AL29" s="1377"/>
      <c r="AM29" s="1096"/>
      <c r="AN29" s="1545"/>
      <c r="AO29" s="2047">
        <v>35</v>
      </c>
      <c r="AP29" s="3176">
        <f t="shared" si="13"/>
        <v>1.2345679012345678</v>
      </c>
      <c r="AQ29" s="3177"/>
      <c r="AR29" s="3178" t="str">
        <f t="shared" si="14"/>
        <v>0 lb. 1.235</v>
      </c>
      <c r="AS29" s="3179"/>
      <c r="AT29" s="3180"/>
      <c r="AU29" s="3181">
        <f t="shared" si="15"/>
        <v>7.716049382716049E-2</v>
      </c>
      <c r="AV29" s="3180"/>
      <c r="AW29" s="1096"/>
      <c r="AX29" s="1096"/>
      <c r="AY29" s="46"/>
      <c r="AZ29" s="1645" t="s">
        <v>712</v>
      </c>
      <c r="BA29" s="1384" t="s">
        <v>690</v>
      </c>
      <c r="BB29" s="1385" t="s">
        <v>674</v>
      </c>
      <c r="BC29" s="1384" t="s">
        <v>675</v>
      </c>
      <c r="BD29" s="1386">
        <v>73</v>
      </c>
      <c r="BE29" s="1386">
        <v>77</v>
      </c>
      <c r="BF29" s="2928">
        <f t="shared" si="3"/>
        <v>75</v>
      </c>
      <c r="BG29" s="1397">
        <v>12</v>
      </c>
      <c r="BH29" s="2930">
        <f t="shared" si="8"/>
        <v>18.888888888888886</v>
      </c>
      <c r="BI29" s="2930">
        <f t="shared" si="9"/>
        <v>21.111111111111114</v>
      </c>
      <c r="BJ29" s="1387">
        <v>66</v>
      </c>
      <c r="BK29" s="1387">
        <v>70</v>
      </c>
      <c r="BL29" s="2191"/>
    </row>
    <row r="30" spans="1:64" ht="15" customHeight="1">
      <c r="A30" s="1254"/>
      <c r="B30" s="1074"/>
      <c r="C30" s="1718" t="s">
        <v>24</v>
      </c>
      <c r="D30" s="1718" t="s">
        <v>131</v>
      </c>
      <c r="E30" s="1718" t="s">
        <v>130</v>
      </c>
      <c r="F30" s="1254"/>
      <c r="G30" s="1254"/>
      <c r="H30" s="1783" t="s">
        <v>674</v>
      </c>
      <c r="I30" s="1784" t="s">
        <v>1554</v>
      </c>
      <c r="J30" s="1785" t="s">
        <v>154</v>
      </c>
      <c r="K30" s="3546" t="s">
        <v>1564</v>
      </c>
      <c r="L30" s="3547"/>
      <c r="M30" s="3547"/>
      <c r="N30" s="1783" t="s">
        <v>674</v>
      </c>
      <c r="O30" s="1785" t="s">
        <v>1555</v>
      </c>
      <c r="P30" s="1785" t="s">
        <v>154</v>
      </c>
      <c r="Q30" s="2526"/>
      <c r="R30" s="2861"/>
      <c r="S30" s="2861"/>
      <c r="T30" s="197"/>
      <c r="U30" s="1097"/>
      <c r="V30" s="46"/>
      <c r="W30" s="540"/>
      <c r="X30" s="540"/>
      <c r="Y30" s="540"/>
      <c r="Z30" s="540"/>
      <c r="AA30" s="540"/>
      <c r="AB30" s="540"/>
      <c r="AC30" s="540"/>
      <c r="AD30" s="540"/>
      <c r="AE30" s="540"/>
      <c r="AF30" s="1375"/>
      <c r="AG30" s="569"/>
      <c r="AH30" s="1098"/>
      <c r="AI30" s="1376"/>
      <c r="AJ30" s="1376"/>
      <c r="AK30" s="1376"/>
      <c r="AL30" s="1377"/>
      <c r="AM30" s="1096"/>
      <c r="AN30" s="1545"/>
      <c r="AO30" s="2047">
        <v>50</v>
      </c>
      <c r="AP30" s="3176">
        <f t="shared" si="13"/>
        <v>1.7636684303350969</v>
      </c>
      <c r="AQ30" s="3177"/>
      <c r="AR30" s="3178" t="str">
        <f t="shared" si="14"/>
        <v>0 lb. 1.764</v>
      </c>
      <c r="AS30" s="3179"/>
      <c r="AT30" s="3180"/>
      <c r="AU30" s="3181">
        <f t="shared" si="15"/>
        <v>0.11022927689594356</v>
      </c>
      <c r="AV30" s="3180"/>
      <c r="AW30" s="1096"/>
      <c r="AX30" s="1096"/>
      <c r="AY30" s="46"/>
      <c r="AZ30" s="1701" t="s">
        <v>714</v>
      </c>
      <c r="BA30" s="1384" t="s">
        <v>673</v>
      </c>
      <c r="BB30" s="1385" t="s">
        <v>674</v>
      </c>
      <c r="BC30" s="1384" t="s">
        <v>675</v>
      </c>
      <c r="BD30" s="1386">
        <v>74</v>
      </c>
      <c r="BE30" s="1386">
        <v>82</v>
      </c>
      <c r="BF30" s="2928">
        <f t="shared" si="3"/>
        <v>78</v>
      </c>
      <c r="BG30" s="1382" t="s">
        <v>679</v>
      </c>
      <c r="BH30" s="2930">
        <f t="shared" si="8"/>
        <v>10</v>
      </c>
      <c r="BI30" s="2930">
        <f t="shared" si="9"/>
        <v>13.888888888888886</v>
      </c>
      <c r="BJ30" s="1387">
        <v>50</v>
      </c>
      <c r="BK30" s="1387">
        <v>57</v>
      </c>
      <c r="BL30" s="2191"/>
    </row>
    <row r="31" spans="1:64" ht="15" customHeight="1">
      <c r="A31" s="1254"/>
      <c r="B31" s="1074"/>
      <c r="C31" s="1721">
        <v>2</v>
      </c>
      <c r="D31" s="1720">
        <f>D29*C31*0.035274</f>
        <v>0.22222619999999998</v>
      </c>
      <c r="E31" s="1719">
        <f>C31*D29</f>
        <v>6.3</v>
      </c>
      <c r="F31" s="1254"/>
      <c r="G31" s="1254"/>
      <c r="H31" s="1786">
        <f>I31*300*C25/(310*100)</f>
        <v>725.80645161290317</v>
      </c>
      <c r="I31" s="1787">
        <v>1000</v>
      </c>
      <c r="J31" s="1786">
        <f>I31*300*C25/(365*100)</f>
        <v>616.43835616438355</v>
      </c>
      <c r="K31" s="986"/>
      <c r="L31" s="986"/>
      <c r="M31" s="986"/>
      <c r="N31" s="1786">
        <f>O31*365/310</f>
        <v>1177.4193548387098</v>
      </c>
      <c r="O31" s="1787">
        <v>1000</v>
      </c>
      <c r="P31" s="1786">
        <f>O31*310/365</f>
        <v>849.31506849315065</v>
      </c>
      <c r="Q31" s="2526"/>
      <c r="R31" s="2861"/>
      <c r="S31" s="2861"/>
      <c r="T31" s="197"/>
      <c r="U31" s="1097"/>
      <c r="V31" s="46"/>
      <c r="W31" s="540"/>
      <c r="X31" s="540"/>
      <c r="Y31" s="540"/>
      <c r="Z31" s="540"/>
      <c r="AA31" s="540"/>
      <c r="AB31" s="540"/>
      <c r="AC31" s="540"/>
      <c r="AD31" s="540"/>
      <c r="AE31" s="540"/>
      <c r="AF31" s="1375"/>
      <c r="AG31" s="569"/>
      <c r="AH31" s="1098"/>
      <c r="AI31" s="1376"/>
      <c r="AJ31" s="1376"/>
      <c r="AK31" s="1376"/>
      <c r="AL31" s="1377"/>
      <c r="AM31" s="1096"/>
      <c r="AN31" s="1545"/>
      <c r="AO31" s="2047">
        <v>100</v>
      </c>
      <c r="AP31" s="3176">
        <f t="shared" si="13"/>
        <v>3.5273368606701938</v>
      </c>
      <c r="AQ31" s="3177"/>
      <c r="AR31" s="3178" t="str">
        <f t="shared" si="14"/>
        <v>0 lb. 3.527</v>
      </c>
      <c r="AS31" s="3179"/>
      <c r="AT31" s="3180"/>
      <c r="AU31" s="3181">
        <f t="shared" si="15"/>
        <v>0.22045855379188711</v>
      </c>
      <c r="AV31" s="3180"/>
      <c r="AW31" s="1096"/>
      <c r="AX31" s="1096"/>
      <c r="AY31" s="46"/>
      <c r="AZ31" s="1645" t="s">
        <v>715</v>
      </c>
      <c r="BA31" s="1384" t="s">
        <v>673</v>
      </c>
      <c r="BB31" s="1385" t="s">
        <v>674</v>
      </c>
      <c r="BC31" s="1384" t="s">
        <v>675</v>
      </c>
      <c r="BD31" s="1386">
        <v>78</v>
      </c>
      <c r="BE31" s="1386">
        <v>85</v>
      </c>
      <c r="BF31" s="2928">
        <f t="shared" si="3"/>
        <v>81.5</v>
      </c>
      <c r="BG31" s="1382" t="s">
        <v>688</v>
      </c>
      <c r="BH31" s="2930">
        <f t="shared" si="8"/>
        <v>17.777777777777779</v>
      </c>
      <c r="BI31" s="2930">
        <f t="shared" si="9"/>
        <v>23.888888888888886</v>
      </c>
      <c r="BJ31" s="1387">
        <v>64</v>
      </c>
      <c r="BK31" s="1387">
        <v>75</v>
      </c>
      <c r="BL31" s="2191"/>
    </row>
    <row r="32" spans="1:64" ht="15" customHeight="1">
      <c r="A32" s="2521"/>
      <c r="B32" s="1254"/>
      <c r="C32" s="1420"/>
      <c r="D32" s="20"/>
      <c r="E32" s="1254"/>
      <c r="F32" s="1254"/>
      <c r="G32" s="1254"/>
      <c r="H32" s="1418"/>
      <c r="I32" s="1103"/>
      <c r="J32" s="1254"/>
      <c r="K32" s="1254"/>
      <c r="L32" s="1254"/>
      <c r="M32" s="1788"/>
      <c r="N32" s="1254"/>
      <c r="O32" s="1254"/>
      <c r="P32" s="1254"/>
      <c r="Q32" s="1789"/>
      <c r="R32" s="2861"/>
      <c r="S32" s="2861"/>
      <c r="T32" s="197"/>
      <c r="U32" s="1097"/>
      <c r="V32" s="46"/>
      <c r="W32" s="1098"/>
      <c r="X32" s="1098"/>
      <c r="Y32" s="1098"/>
      <c r="Z32" s="1098"/>
      <c r="AA32" s="1098"/>
      <c r="AB32" s="1098"/>
      <c r="AC32" s="1098"/>
      <c r="AD32" s="1098"/>
      <c r="AE32" s="1098"/>
      <c r="AF32" s="1098"/>
      <c r="AG32" s="569"/>
      <c r="AH32" s="1098"/>
      <c r="AI32" s="1376"/>
      <c r="AJ32" s="1376"/>
      <c r="AK32" s="1376"/>
      <c r="AL32" s="1377"/>
      <c r="AM32" s="1096"/>
      <c r="AN32" s="1545"/>
      <c r="AO32" s="2047">
        <v>500</v>
      </c>
      <c r="AP32" s="3176">
        <f>16*AU32</f>
        <v>17.636684303350968</v>
      </c>
      <c r="AQ32" s="3177"/>
      <c r="AR32" s="3178" t="str">
        <f>INT(AP32/16)&amp;" lb. "&amp;FIXED(AP32-16*INT(AP32/16),3)</f>
        <v>1 lb. 1.637</v>
      </c>
      <c r="AS32" s="3179"/>
      <c r="AT32" s="3180"/>
      <c r="AU32" s="3181">
        <f t="shared" si="15"/>
        <v>1.1022927689594355</v>
      </c>
      <c r="AV32" s="3180"/>
      <c r="AW32" s="1096"/>
      <c r="AX32" s="1096"/>
      <c r="AY32" s="46"/>
      <c r="AZ32" s="1701" t="s">
        <v>716</v>
      </c>
      <c r="BA32" s="1384" t="s">
        <v>690</v>
      </c>
      <c r="BB32" s="1385" t="s">
        <v>674</v>
      </c>
      <c r="BC32" s="1384" t="s">
        <v>670</v>
      </c>
      <c r="BD32" s="1386">
        <v>72</v>
      </c>
      <c r="BE32" s="1386">
        <v>76</v>
      </c>
      <c r="BF32" s="2928">
        <f t="shared" si="3"/>
        <v>74</v>
      </c>
      <c r="BG32" s="1397">
        <v>12</v>
      </c>
      <c r="BH32" s="2930">
        <f t="shared" si="8"/>
        <v>17.777777777777779</v>
      </c>
      <c r="BI32" s="2930">
        <f t="shared" si="9"/>
        <v>23.333333333333336</v>
      </c>
      <c r="BJ32" s="1387">
        <v>64</v>
      </c>
      <c r="BK32" s="1387">
        <v>74</v>
      </c>
      <c r="BL32" s="2191"/>
    </row>
    <row r="33" spans="1:64" ht="15" customHeight="1">
      <c r="A33" s="1692"/>
      <c r="B33" s="1254"/>
      <c r="C33" s="1100"/>
      <c r="D33" s="2526"/>
      <c r="E33" s="2526"/>
      <c r="F33" s="2526"/>
      <c r="G33" s="2526"/>
      <c r="H33" s="1418"/>
      <c r="I33" s="1103"/>
      <c r="J33" s="1103"/>
      <c r="K33" s="1104"/>
      <c r="L33" s="1104"/>
      <c r="M33" s="1104"/>
      <c r="N33" s="1104"/>
      <c r="O33" s="1104"/>
      <c r="P33" s="1419"/>
      <c r="Q33" s="1419"/>
      <c r="R33" s="1254"/>
      <c r="S33" s="1254"/>
      <c r="T33" s="1255"/>
      <c r="U33" s="1097"/>
      <c r="V33" s="46"/>
      <c r="W33" s="540"/>
      <c r="X33" s="540"/>
      <c r="Y33" s="540"/>
      <c r="Z33" s="540"/>
      <c r="AA33" s="540"/>
      <c r="AB33" s="540"/>
      <c r="AC33" s="540"/>
      <c r="AD33" s="540"/>
      <c r="AE33" s="540"/>
      <c r="AF33" s="1375"/>
      <c r="AG33" s="569"/>
      <c r="AH33" s="1098"/>
      <c r="AI33" s="1376"/>
      <c r="AJ33" s="1376"/>
      <c r="AK33" s="1376"/>
      <c r="AL33" s="1377"/>
      <c r="AM33" s="1096"/>
      <c r="AN33" s="1545"/>
      <c r="AO33" s="2047">
        <v>750</v>
      </c>
      <c r="AP33" s="3176">
        <f>16*AU33</f>
        <v>26.455026455026452</v>
      </c>
      <c r="AQ33" s="3177"/>
      <c r="AR33" s="3178" t="str">
        <f>INT(AP33/16)&amp;" lb. "&amp;FIXED(AP33-16*INT(AP33/16),3)</f>
        <v>1 lb. 10.455</v>
      </c>
      <c r="AS33" s="3179"/>
      <c r="AT33" s="3180"/>
      <c r="AU33" s="3181">
        <f t="shared" si="15"/>
        <v>1.6534391534391533</v>
      </c>
      <c r="AV33" s="3180"/>
      <c r="AW33" s="1096"/>
      <c r="AX33" s="1096"/>
      <c r="AY33" s="46"/>
      <c r="AZ33" s="1415"/>
      <c r="BA33" s="1384"/>
      <c r="BB33" s="1385"/>
      <c r="BC33" s="1384"/>
      <c r="BD33" s="1386"/>
      <c r="BE33" s="1386"/>
      <c r="BF33" s="2928">
        <f t="shared" si="3"/>
        <v>0</v>
      </c>
      <c r="BG33" s="1397"/>
      <c r="BH33" s="2930">
        <f t="shared" si="8"/>
        <v>-17.777777777777779</v>
      </c>
      <c r="BI33" s="2930">
        <f t="shared" si="9"/>
        <v>-17.777777777777779</v>
      </c>
      <c r="BJ33" s="1387"/>
      <c r="BK33" s="1387"/>
      <c r="BL33" s="2191"/>
    </row>
    <row r="34" spans="1:64" ht="15" customHeight="1">
      <c r="A34" s="1692"/>
      <c r="B34" s="3548" t="s">
        <v>1583</v>
      </c>
      <c r="C34" s="3548"/>
      <c r="D34" s="3549"/>
      <c r="E34" s="1561"/>
      <c r="F34" s="1643"/>
      <c r="G34" s="1936"/>
      <c r="H34" s="3550"/>
      <c r="I34" s="3551"/>
      <c r="J34" s="3552"/>
      <c r="K34" s="3559" t="s">
        <v>322</v>
      </c>
      <c r="L34" s="3559"/>
      <c r="M34" s="3559"/>
      <c r="N34" s="3559"/>
      <c r="O34" s="3559"/>
      <c r="P34" s="3559"/>
      <c r="Q34" s="3559" t="s">
        <v>325</v>
      </c>
      <c r="R34" s="3559"/>
      <c r="S34" s="3559"/>
      <c r="T34" s="1659"/>
      <c r="U34" s="1097"/>
      <c r="V34" s="46"/>
      <c r="W34" s="540"/>
      <c r="X34" s="540"/>
      <c r="Y34" s="540"/>
      <c r="Z34" s="540"/>
      <c r="AA34" s="540"/>
      <c r="AB34" s="540"/>
      <c r="AC34" s="540"/>
      <c r="AD34" s="540"/>
      <c r="AE34" s="540"/>
      <c r="AF34" s="1375"/>
      <c r="AG34" s="569"/>
      <c r="AH34" s="1098"/>
      <c r="AI34" s="1376"/>
      <c r="AJ34" s="1376"/>
      <c r="AK34" s="1376"/>
      <c r="AL34" s="1377"/>
      <c r="AM34" s="1096"/>
      <c r="AN34" s="1545"/>
      <c r="AO34" s="2331"/>
      <c r="AP34" s="2331"/>
      <c r="AQ34" s="2331"/>
      <c r="AR34" s="2331"/>
      <c r="AS34" s="2331"/>
      <c r="AT34" s="2331"/>
      <c r="AU34" s="2333"/>
      <c r="AV34" s="2333"/>
      <c r="AW34" s="1096"/>
      <c r="AX34" s="1096"/>
      <c r="AY34" s="46"/>
      <c r="AZ34" s="1645" t="s">
        <v>717</v>
      </c>
      <c r="BA34" s="1384" t="s">
        <v>673</v>
      </c>
      <c r="BB34" s="1385" t="s">
        <v>674</v>
      </c>
      <c r="BC34" s="1384" t="s">
        <v>686</v>
      </c>
      <c r="BD34" s="1386">
        <v>73</v>
      </c>
      <c r="BE34" s="1386">
        <v>78</v>
      </c>
      <c r="BF34" s="2928">
        <f t="shared" si="3"/>
        <v>75.5</v>
      </c>
      <c r="BG34" s="1382" t="s">
        <v>679</v>
      </c>
      <c r="BH34" s="2930">
        <f t="shared" ref="BH34:BI65" si="16">((BJ34+40)*5/9)-40</f>
        <v>18.333333333333336</v>
      </c>
      <c r="BI34" s="2930">
        <f t="shared" si="16"/>
        <v>21.111111111111114</v>
      </c>
      <c r="BJ34" s="1387">
        <v>65</v>
      </c>
      <c r="BK34" s="1387">
        <v>70</v>
      </c>
      <c r="BL34" s="2191"/>
    </row>
    <row r="35" spans="1:64" ht="15" customHeight="1">
      <c r="A35" s="1692"/>
      <c r="B35" s="2523"/>
      <c r="C35" s="3548" t="s">
        <v>1566</v>
      </c>
      <c r="D35" s="3549"/>
      <c r="E35" s="1562"/>
      <c r="F35" s="1643"/>
      <c r="G35" s="1936"/>
      <c r="H35" s="3553"/>
      <c r="I35" s="3554"/>
      <c r="J35" s="3555"/>
      <c r="K35" s="3560" t="s">
        <v>1571</v>
      </c>
      <c r="L35" s="3560"/>
      <c r="M35" s="3560"/>
      <c r="N35" s="3560"/>
      <c r="O35" s="3560"/>
      <c r="P35" s="3560"/>
      <c r="Q35" s="3560" t="s">
        <v>1569</v>
      </c>
      <c r="R35" s="3560"/>
      <c r="S35" s="3560"/>
      <c r="T35" s="1659"/>
      <c r="U35" s="1105"/>
      <c r="V35" s="1105"/>
      <c r="W35" s="1098"/>
      <c r="X35" s="1098"/>
      <c r="Y35" s="1098"/>
      <c r="Z35" s="1098"/>
      <c r="AA35" s="1098"/>
      <c r="AB35" s="1098"/>
      <c r="AC35" s="1098"/>
      <c r="AD35" s="1098"/>
      <c r="AE35" s="1098"/>
      <c r="AF35" s="1098"/>
      <c r="AG35" s="1421"/>
      <c r="AH35" s="1421"/>
      <c r="AI35" s="1421"/>
      <c r="AJ35" s="1421"/>
      <c r="AK35" s="1421"/>
      <c r="AL35" s="1422"/>
      <c r="AM35" s="1096"/>
      <c r="AN35" s="1545"/>
      <c r="AO35" s="3314" t="s">
        <v>981</v>
      </c>
      <c r="AP35" s="3315"/>
      <c r="AQ35" s="2334" t="s">
        <v>23</v>
      </c>
      <c r="AR35" s="3191" t="s">
        <v>23</v>
      </c>
      <c r="AS35" s="3192"/>
      <c r="AT35" s="2494" t="s">
        <v>133</v>
      </c>
      <c r="AU35" s="931"/>
      <c r="AV35" s="2333"/>
      <c r="AW35" s="1096"/>
      <c r="AX35" s="1096"/>
      <c r="AY35" s="46"/>
      <c r="AZ35" s="1645" t="s">
        <v>718</v>
      </c>
      <c r="BA35" s="1384" t="s">
        <v>690</v>
      </c>
      <c r="BB35" s="1385" t="s">
        <v>674</v>
      </c>
      <c r="BC35" s="1384" t="s">
        <v>719</v>
      </c>
      <c r="BD35" s="1386">
        <v>70</v>
      </c>
      <c r="BE35" s="1386">
        <v>80</v>
      </c>
      <c r="BF35" s="2928">
        <f t="shared" si="3"/>
        <v>75</v>
      </c>
      <c r="BG35" s="1397">
        <v>11</v>
      </c>
      <c r="BH35" s="2930">
        <f t="shared" si="16"/>
        <v>20</v>
      </c>
      <c r="BI35" s="2930">
        <f t="shared" si="16"/>
        <v>25.555555555555557</v>
      </c>
      <c r="BJ35" s="1387">
        <v>68</v>
      </c>
      <c r="BK35" s="1387">
        <v>78</v>
      </c>
      <c r="BL35" s="2191"/>
    </row>
    <row r="36" spans="1:64" ht="15" customHeight="1">
      <c r="A36" s="1423"/>
      <c r="B36" s="1106"/>
      <c r="C36" s="343"/>
      <c r="D36" s="1424"/>
      <c r="E36" s="1424"/>
      <c r="F36" s="1424"/>
      <c r="G36" s="1424"/>
      <c r="H36" s="3553"/>
      <c r="I36" s="3554"/>
      <c r="J36" s="3555"/>
      <c r="K36" s="3561" t="s">
        <v>968</v>
      </c>
      <c r="L36" s="3561"/>
      <c r="M36" s="3561"/>
      <c r="N36" s="3562" t="s">
        <v>969</v>
      </c>
      <c r="O36" s="3562"/>
      <c r="P36" s="3562"/>
      <c r="Q36" s="3563" t="s">
        <v>1618</v>
      </c>
      <c r="R36" s="3563"/>
      <c r="S36" s="3563"/>
      <c r="T36" s="1659"/>
      <c r="U36" s="1105"/>
      <c r="V36" s="1105"/>
      <c r="W36" s="1425" t="s">
        <v>963</v>
      </c>
      <c r="X36" s="1425"/>
      <c r="Y36" s="1425"/>
      <c r="Z36" s="1425" t="s">
        <v>963</v>
      </c>
      <c r="AA36" s="1425"/>
      <c r="AB36" s="1425"/>
      <c r="AC36" s="1425" t="s">
        <v>963</v>
      </c>
      <c r="AD36" s="1425"/>
      <c r="AE36" s="1425"/>
      <c r="AF36" s="1426"/>
      <c r="AG36" s="1427"/>
      <c r="AH36" s="1427"/>
      <c r="AI36" s="1427"/>
      <c r="AJ36" s="1427"/>
      <c r="AK36" s="1427"/>
      <c r="AL36" s="1427"/>
      <c r="AM36" s="1096"/>
      <c r="AN36" s="1545"/>
      <c r="AO36" s="3182"/>
      <c r="AP36" s="3183"/>
      <c r="AQ36" s="2335">
        <v>8</v>
      </c>
      <c r="AR36" s="3184">
        <f>AO36*16+AQ36</f>
        <v>8</v>
      </c>
      <c r="AS36" s="3185"/>
      <c r="AT36" s="2336">
        <f>1000*(AP36+AR36/16)*0.4536</f>
        <v>226.8</v>
      </c>
      <c r="AU36" s="931"/>
      <c r="AV36" s="931"/>
      <c r="AW36" s="1096"/>
      <c r="AX36" s="1096"/>
      <c r="AY36" s="46"/>
      <c r="AZ36" s="1645" t="s">
        <v>720</v>
      </c>
      <c r="BA36" s="1384" t="s">
        <v>690</v>
      </c>
      <c r="BB36" s="1385" t="s">
        <v>674</v>
      </c>
      <c r="BC36" s="1384" t="s">
        <v>686</v>
      </c>
      <c r="BD36" s="1386">
        <v>76</v>
      </c>
      <c r="BE36" s="1386">
        <v>80</v>
      </c>
      <c r="BF36" s="2928">
        <f t="shared" si="3"/>
        <v>78</v>
      </c>
      <c r="BG36" s="1397">
        <v>12</v>
      </c>
      <c r="BH36" s="2930">
        <f t="shared" si="16"/>
        <v>18.333333333333336</v>
      </c>
      <c r="BI36" s="2930">
        <f t="shared" si="16"/>
        <v>23.888888888888886</v>
      </c>
      <c r="BJ36" s="1387">
        <v>65</v>
      </c>
      <c r="BK36" s="1387">
        <v>75</v>
      </c>
      <c r="BL36" s="2191"/>
    </row>
    <row r="37" spans="1:64" ht="15" customHeight="1">
      <c r="A37" s="1428"/>
      <c r="B37" s="1429" t="s">
        <v>972</v>
      </c>
      <c r="C37" s="1430" t="s">
        <v>22</v>
      </c>
      <c r="D37" s="1430" t="s">
        <v>23</v>
      </c>
      <c r="E37" s="1431" t="s">
        <v>34</v>
      </c>
      <c r="F37" s="1432" t="s">
        <v>209</v>
      </c>
      <c r="G37" s="1661" t="s">
        <v>973</v>
      </c>
      <c r="H37" s="3556"/>
      <c r="I37" s="3557"/>
      <c r="J37" s="3558"/>
      <c r="K37" s="3312" t="s">
        <v>29</v>
      </c>
      <c r="L37" s="3308" t="s">
        <v>1597</v>
      </c>
      <c r="M37" s="3310" t="s">
        <v>1598</v>
      </c>
      <c r="N37" s="3312" t="s">
        <v>29</v>
      </c>
      <c r="O37" s="3308" t="s">
        <v>1597</v>
      </c>
      <c r="P37" s="3310" t="s">
        <v>1598</v>
      </c>
      <c r="Q37" s="3312" t="s">
        <v>29</v>
      </c>
      <c r="R37" s="3308" t="s">
        <v>1597</v>
      </c>
      <c r="S37" s="3310" t="s">
        <v>1598</v>
      </c>
      <c r="T37" s="1255"/>
      <c r="U37" s="1433" t="s">
        <v>139</v>
      </c>
      <c r="V37" s="1434" t="s">
        <v>292</v>
      </c>
      <c r="W37" s="1628" t="s">
        <v>211</v>
      </c>
      <c r="X37" s="1629"/>
      <c r="Y37" s="1629"/>
      <c r="Z37" s="1636" t="s">
        <v>212</v>
      </c>
      <c r="AA37" s="1635"/>
      <c r="AB37" s="1635"/>
      <c r="AC37" s="3539" t="s">
        <v>1092</v>
      </c>
      <c r="AD37" s="3539"/>
      <c r="AE37" s="3539"/>
      <c r="AF37" s="1667"/>
      <c r="AG37" s="1435" t="s">
        <v>289</v>
      </c>
      <c r="AH37" s="1435" t="s">
        <v>290</v>
      </c>
      <c r="AI37" s="1435" t="s">
        <v>970</v>
      </c>
      <c r="AJ37" s="1436" t="s">
        <v>207</v>
      </c>
      <c r="AK37" s="1437" t="s">
        <v>971</v>
      </c>
      <c r="AL37" s="1437" t="s">
        <v>970</v>
      </c>
      <c r="AM37" s="1096"/>
      <c r="AN37" s="1545"/>
      <c r="AO37" s="3182">
        <v>1</v>
      </c>
      <c r="AP37" s="3186"/>
      <c r="AQ37" s="2326"/>
      <c r="AR37" s="3184">
        <f>AO37*16+AQ37</f>
        <v>16</v>
      </c>
      <c r="AS37" s="3185"/>
      <c r="AT37" s="2336">
        <f>1000*(AP37+AR37/16)*0.4536</f>
        <v>453.6</v>
      </c>
      <c r="AU37" s="931"/>
      <c r="AV37" s="931"/>
      <c r="AW37" s="1096"/>
      <c r="AX37" s="1096"/>
      <c r="AY37" s="46"/>
      <c r="AZ37" s="1645" t="s">
        <v>721</v>
      </c>
      <c r="BA37" s="1384" t="s">
        <v>673</v>
      </c>
      <c r="BB37" s="1385" t="s">
        <v>674</v>
      </c>
      <c r="BC37" s="1384" t="s">
        <v>675</v>
      </c>
      <c r="BD37" s="1386">
        <v>65</v>
      </c>
      <c r="BE37" s="1386">
        <v>75</v>
      </c>
      <c r="BF37" s="2928">
        <f t="shared" si="3"/>
        <v>70</v>
      </c>
      <c r="BG37" s="1382" t="s">
        <v>676</v>
      </c>
      <c r="BH37" s="2930">
        <f t="shared" si="16"/>
        <v>18.888888888888886</v>
      </c>
      <c r="BI37" s="2930">
        <f t="shared" si="16"/>
        <v>22.222222222222221</v>
      </c>
      <c r="BJ37" s="1387">
        <v>66</v>
      </c>
      <c r="BK37" s="1387">
        <v>72</v>
      </c>
      <c r="BL37" s="2191"/>
    </row>
    <row r="38" spans="1:64" ht="15" customHeight="1">
      <c r="A38" s="3540" t="s">
        <v>330</v>
      </c>
      <c r="B38" s="2814" t="str">
        <f>B$104</f>
        <v>Pale malt</v>
      </c>
      <c r="C38" s="1438">
        <v>6</v>
      </c>
      <c r="D38" s="1438"/>
      <c r="E38" s="1439" t="str">
        <f>1*FIXED(U38,0)&amp;"g"</f>
        <v>2722g</v>
      </c>
      <c r="F38" s="1237">
        <f t="shared" ref="F38:F55" si="17">100*IF(U38=0,0,U38/$U$58)</f>
        <v>78.976234003656316</v>
      </c>
      <c r="G38" s="1238">
        <f t="shared" ref="G38:G55" si="18">IF(AJ38=0,0,AJ38*100/$U$59)</f>
        <v>73.286586745080299</v>
      </c>
      <c r="H38" s="3542" t="s">
        <v>974</v>
      </c>
      <c r="I38" s="3543"/>
      <c r="J38" s="1440" t="s">
        <v>975</v>
      </c>
      <c r="K38" s="3313"/>
      <c r="L38" s="3309"/>
      <c r="M38" s="3311"/>
      <c r="N38" s="3313"/>
      <c r="O38" s="3309"/>
      <c r="P38" s="3311"/>
      <c r="Q38" s="3313"/>
      <c r="R38" s="3309"/>
      <c r="S38" s="3311"/>
      <c r="T38" s="1255"/>
      <c r="U38" s="647">
        <f t="shared" ref="U38:U54" si="19">453.6*(C38+D38/16)</f>
        <v>2721.6000000000004</v>
      </c>
      <c r="V38" s="540" t="s">
        <v>141</v>
      </c>
      <c r="W38" s="1668" t="s">
        <v>217</v>
      </c>
      <c r="X38" s="1668" t="s">
        <v>218</v>
      </c>
      <c r="Y38" s="1668" t="s">
        <v>219</v>
      </c>
      <c r="Z38" s="1669" t="s">
        <v>217</v>
      </c>
      <c r="AA38" s="1669" t="s">
        <v>218</v>
      </c>
      <c r="AB38" s="1669" t="s">
        <v>219</v>
      </c>
      <c r="AC38" s="1670" t="s">
        <v>217</v>
      </c>
      <c r="AD38" s="1671" t="s">
        <v>218</v>
      </c>
      <c r="AE38" s="1671" t="s">
        <v>219</v>
      </c>
      <c r="AF38" s="1667"/>
      <c r="AG38" s="1441">
        <f>C$104</f>
        <v>225</v>
      </c>
      <c r="AH38" s="1442">
        <f>D$104</f>
        <v>0.62</v>
      </c>
      <c r="AI38" s="1441">
        <f>E$104</f>
        <v>4.0999999999999996</v>
      </c>
      <c r="AJ38" s="1443">
        <f t="shared" ref="AJ38:AJ55" si="20">0.001*AG38*U38</f>
        <v>612.36000000000013</v>
      </c>
      <c r="AK38" s="1444">
        <f t="shared" ref="AK38:AK52" si="21">AJ38*$AH38</f>
        <v>379.66320000000007</v>
      </c>
      <c r="AL38" s="1437">
        <f t="shared" ref="AL38:AL56" si="22">0.01*AI38*U38</f>
        <v>111.5856</v>
      </c>
      <c r="AM38" s="1096"/>
      <c r="AN38" s="1545"/>
      <c r="AO38" s="3182">
        <v>1</v>
      </c>
      <c r="AP38" s="3186"/>
      <c r="AQ38" s="2326">
        <v>8</v>
      </c>
      <c r="AR38" s="3184">
        <f>AO38*16+AQ38</f>
        <v>24</v>
      </c>
      <c r="AS38" s="3185"/>
      <c r="AT38" s="2336">
        <f>1000*(AP38+AR38/16)*0.4536</f>
        <v>680.4</v>
      </c>
      <c r="AU38" s="931"/>
      <c r="AV38" s="931"/>
      <c r="AW38" s="1096"/>
      <c r="AX38" s="1096"/>
      <c r="AY38" s="46"/>
      <c r="AZ38" s="1645" t="s">
        <v>722</v>
      </c>
      <c r="BA38" s="1384" t="s">
        <v>673</v>
      </c>
      <c r="BB38" s="1385" t="s">
        <v>674</v>
      </c>
      <c r="BC38" s="1384" t="s">
        <v>675</v>
      </c>
      <c r="BD38" s="1386">
        <v>78</v>
      </c>
      <c r="BE38" s="1386">
        <v>85</v>
      </c>
      <c r="BF38" s="2928">
        <f t="shared" si="3"/>
        <v>81.5</v>
      </c>
      <c r="BG38" s="1382" t="s">
        <v>676</v>
      </c>
      <c r="BH38" s="2930">
        <f t="shared" si="16"/>
        <v>20</v>
      </c>
      <c r="BI38" s="2930">
        <f t="shared" si="16"/>
        <v>25.555555555555557</v>
      </c>
      <c r="BJ38" s="1387">
        <v>68</v>
      </c>
      <c r="BK38" s="1387">
        <v>78</v>
      </c>
      <c r="BL38" s="2191"/>
    </row>
    <row r="39" spans="1:64" ht="15" customHeight="1">
      <c r="A39" s="3541"/>
      <c r="B39" s="2815" t="str">
        <f>B$105</f>
        <v>Wheat malt</v>
      </c>
      <c r="C39" s="1167"/>
      <c r="D39" s="1167"/>
      <c r="E39" s="841" t="str">
        <f t="shared" ref="E39:E55" si="23">FIXED(U39,0)&amp;"g"</f>
        <v>0g</v>
      </c>
      <c r="F39" s="1239">
        <f t="shared" si="17"/>
        <v>0</v>
      </c>
      <c r="G39" s="227">
        <f t="shared" si="18"/>
        <v>0</v>
      </c>
      <c r="H39" s="3544" t="s">
        <v>126</v>
      </c>
      <c r="I39" s="3545"/>
      <c r="J39" s="1446">
        <v>5.5</v>
      </c>
      <c r="K39" s="1447"/>
      <c r="L39" s="1448"/>
      <c r="M39" s="1449"/>
      <c r="N39" s="1450">
        <f t="shared" ref="N39:P54" si="24">K39</f>
        <v>0</v>
      </c>
      <c r="O39" s="1451">
        <f t="shared" si="24"/>
        <v>0</v>
      </c>
      <c r="P39" s="1452">
        <f t="shared" si="24"/>
        <v>0</v>
      </c>
      <c r="Q39" s="1277"/>
      <c r="R39" s="1278"/>
      <c r="S39" s="1279"/>
      <c r="T39" s="1255"/>
      <c r="U39" s="1453">
        <f t="shared" si="19"/>
        <v>0</v>
      </c>
      <c r="V39" s="540" t="s">
        <v>141</v>
      </c>
      <c r="W39" s="1630">
        <f t="shared" ref="W39:W57" si="25">$J39*K39</f>
        <v>0</v>
      </c>
      <c r="X39" s="1630">
        <f t="shared" ref="X39:X57" si="26">$J39*L39</f>
        <v>0</v>
      </c>
      <c r="Y39" s="1630">
        <f t="shared" ref="Y39:Y57" si="27">$J39*M39</f>
        <v>0</v>
      </c>
      <c r="Z39" s="1637">
        <f>AG12*N3</f>
        <v>0</v>
      </c>
      <c r="AA39" s="1637">
        <f t="shared" ref="AA39:AA57" si="28">$J39*O39</f>
        <v>0</v>
      </c>
      <c r="AB39" s="1637">
        <f t="shared" ref="AB39:AB57" si="29">$J39*P39</f>
        <v>0</v>
      </c>
      <c r="AC39" s="1630">
        <f t="shared" ref="AC39:AC57" si="30">$J39*Q39</f>
        <v>0</v>
      </c>
      <c r="AD39" s="1630">
        <f t="shared" ref="AD39:AD57" si="31">$J39*R39</f>
        <v>0</v>
      </c>
      <c r="AE39" s="1630">
        <f t="shared" ref="AE39:AE57" si="32">$J39*S39</f>
        <v>0</v>
      </c>
      <c r="AF39" s="1672"/>
      <c r="AG39" s="1442">
        <f>C$105</f>
        <v>228.75</v>
      </c>
      <c r="AH39" s="1442">
        <f>D$105</f>
        <v>0.62</v>
      </c>
      <c r="AI39" s="1442">
        <f>E$105</f>
        <v>7.65</v>
      </c>
      <c r="AJ39" s="1443">
        <f t="shared" si="20"/>
        <v>0</v>
      </c>
      <c r="AK39" s="1444">
        <f t="shared" si="21"/>
        <v>0</v>
      </c>
      <c r="AL39" s="1437">
        <f t="shared" si="22"/>
        <v>0</v>
      </c>
      <c r="AM39" s="1096"/>
      <c r="AN39" s="1545"/>
      <c r="AO39" s="3182">
        <v>2</v>
      </c>
      <c r="AP39" s="3186"/>
      <c r="AQ39" s="2326"/>
      <c r="AR39" s="3184">
        <f>AO39*16+AQ39</f>
        <v>32</v>
      </c>
      <c r="AS39" s="3185"/>
      <c r="AT39" s="2336">
        <f>1000*(AP39+AR39/16)*0.4536</f>
        <v>907.2</v>
      </c>
      <c r="AU39" s="931"/>
      <c r="AV39" s="931"/>
      <c r="AW39" s="1096"/>
      <c r="AX39" s="1096"/>
      <c r="AY39" s="46"/>
      <c r="AZ39" s="1645" t="s">
        <v>723</v>
      </c>
      <c r="BA39" s="1384" t="s">
        <v>673</v>
      </c>
      <c r="BB39" s="1385" t="s">
        <v>674</v>
      </c>
      <c r="BC39" s="1384" t="s">
        <v>724</v>
      </c>
      <c r="BD39" s="1396" t="s">
        <v>724</v>
      </c>
      <c r="BE39" s="1396" t="s">
        <v>724</v>
      </c>
      <c r="BF39" s="2928" t="e">
        <f t="shared" si="3"/>
        <v>#VALUE!</v>
      </c>
      <c r="BG39" s="1397" t="s">
        <v>724</v>
      </c>
      <c r="BH39" s="2930">
        <f t="shared" si="16"/>
        <v>18.333333333333336</v>
      </c>
      <c r="BI39" s="2930">
        <f t="shared" si="16"/>
        <v>24.444444444444443</v>
      </c>
      <c r="BJ39" s="1387">
        <v>65</v>
      </c>
      <c r="BK39" s="1387">
        <v>76</v>
      </c>
      <c r="BL39" s="2191"/>
    </row>
    <row r="40" spans="1:64" ht="15" customHeight="1">
      <c r="A40" s="3541"/>
      <c r="B40" s="2815" t="str">
        <f>B$106</f>
        <v>Lager malt (Pilsner)</v>
      </c>
      <c r="C40" s="1167"/>
      <c r="D40" s="1167"/>
      <c r="E40" s="841" t="str">
        <f t="shared" si="23"/>
        <v>0g</v>
      </c>
      <c r="F40" s="1239">
        <f t="shared" si="17"/>
        <v>0</v>
      </c>
      <c r="G40" s="227">
        <f t="shared" si="18"/>
        <v>0</v>
      </c>
      <c r="H40" s="3531" t="s">
        <v>222</v>
      </c>
      <c r="I40" s="3532"/>
      <c r="J40" s="1454">
        <v>8</v>
      </c>
      <c r="K40" s="1455"/>
      <c r="L40" s="1456"/>
      <c r="M40" s="1457"/>
      <c r="N40" s="1458">
        <f t="shared" si="24"/>
        <v>0</v>
      </c>
      <c r="O40" s="1459">
        <f t="shared" si="24"/>
        <v>0</v>
      </c>
      <c r="P40" s="1460">
        <f t="shared" si="24"/>
        <v>0</v>
      </c>
      <c r="Q40" s="1277"/>
      <c r="R40" s="1278"/>
      <c r="S40" s="1279"/>
      <c r="T40" s="1255"/>
      <c r="U40" s="1453">
        <f t="shared" si="19"/>
        <v>0</v>
      </c>
      <c r="V40" s="540" t="s">
        <v>141</v>
      </c>
      <c r="W40" s="1630">
        <f t="shared" si="25"/>
        <v>0</v>
      </c>
      <c r="X40" s="1630">
        <f t="shared" si="26"/>
        <v>0</v>
      </c>
      <c r="Y40" s="1630">
        <f t="shared" si="27"/>
        <v>0</v>
      </c>
      <c r="Z40" s="1637">
        <f t="shared" ref="Z40:Z57" si="33">$J40*N40</f>
        <v>0</v>
      </c>
      <c r="AA40" s="1637">
        <f t="shared" si="28"/>
        <v>0</v>
      </c>
      <c r="AB40" s="1637">
        <f t="shared" si="29"/>
        <v>0</v>
      </c>
      <c r="AC40" s="1630">
        <f t="shared" si="30"/>
        <v>0</v>
      </c>
      <c r="AD40" s="1630">
        <f t="shared" si="31"/>
        <v>0</v>
      </c>
      <c r="AE40" s="1630">
        <f t="shared" si="32"/>
        <v>0</v>
      </c>
      <c r="AF40" s="1672"/>
      <c r="AG40" s="1442">
        <f>C$106</f>
        <v>225</v>
      </c>
      <c r="AH40" s="1442">
        <f>D$106</f>
        <v>0.62</v>
      </c>
      <c r="AI40" s="1442">
        <f>E$106</f>
        <v>2.2000000000000002</v>
      </c>
      <c r="AJ40" s="1443">
        <f t="shared" si="20"/>
        <v>0</v>
      </c>
      <c r="AK40" s="1444">
        <f t="shared" si="21"/>
        <v>0</v>
      </c>
      <c r="AL40" s="1437">
        <f t="shared" si="22"/>
        <v>0</v>
      </c>
      <c r="AM40" s="1096"/>
      <c r="AN40" s="1545"/>
      <c r="AO40" s="3182">
        <v>2</v>
      </c>
      <c r="AP40" s="3186"/>
      <c r="AQ40" s="2326">
        <v>8</v>
      </c>
      <c r="AR40" s="3184">
        <f t="shared" ref="AR40:AR41" si="34">AO40*16+AQ40</f>
        <v>40</v>
      </c>
      <c r="AS40" s="3185"/>
      <c r="AT40" s="2336">
        <f t="shared" ref="AT40:AT41" si="35">1000*(AP40+AR40/16)*0.4536</f>
        <v>1134</v>
      </c>
      <c r="AU40" s="931"/>
      <c r="AV40" s="931"/>
      <c r="AW40" s="1096"/>
      <c r="AX40" s="1096"/>
      <c r="AY40" s="46"/>
      <c r="AZ40" s="1645" t="s">
        <v>725</v>
      </c>
      <c r="BA40" s="1384" t="s">
        <v>690</v>
      </c>
      <c r="BB40" s="1385" t="s">
        <v>674</v>
      </c>
      <c r="BC40" s="1384" t="s">
        <v>686</v>
      </c>
      <c r="BD40" s="1386">
        <v>74</v>
      </c>
      <c r="BE40" s="1386">
        <v>78</v>
      </c>
      <c r="BF40" s="2928">
        <f t="shared" si="3"/>
        <v>76</v>
      </c>
      <c r="BG40" s="1397" t="s">
        <v>726</v>
      </c>
      <c r="BH40" s="2930">
        <f t="shared" si="16"/>
        <v>20</v>
      </c>
      <c r="BI40" s="2930">
        <f t="shared" si="16"/>
        <v>23.888888888888886</v>
      </c>
      <c r="BJ40" s="1387">
        <v>68</v>
      </c>
      <c r="BK40" s="1387">
        <v>75</v>
      </c>
      <c r="BL40" s="2191"/>
    </row>
    <row r="41" spans="1:64" ht="15" customHeight="1">
      <c r="A41" s="3541"/>
      <c r="B41" s="2815" t="str">
        <f>B$107</f>
        <v>Extract (wet -light)</v>
      </c>
      <c r="C41" s="1167"/>
      <c r="D41" s="1167"/>
      <c r="E41" s="841" t="str">
        <f t="shared" si="23"/>
        <v>0g</v>
      </c>
      <c r="F41" s="1239">
        <f t="shared" si="17"/>
        <v>0</v>
      </c>
      <c r="G41" s="227">
        <f t="shared" si="18"/>
        <v>0</v>
      </c>
      <c r="H41" s="3531" t="s">
        <v>223</v>
      </c>
      <c r="I41" s="3532"/>
      <c r="J41" s="1454">
        <v>7.5</v>
      </c>
      <c r="K41" s="1455"/>
      <c r="L41" s="1456"/>
      <c r="M41" s="1457"/>
      <c r="N41" s="1458">
        <f t="shared" si="24"/>
        <v>0</v>
      </c>
      <c r="O41" s="1459">
        <f t="shared" si="24"/>
        <v>0</v>
      </c>
      <c r="P41" s="1460">
        <f t="shared" si="24"/>
        <v>0</v>
      </c>
      <c r="Q41" s="1277"/>
      <c r="R41" s="1278"/>
      <c r="S41" s="1279"/>
      <c r="T41" s="1255"/>
      <c r="U41" s="1453">
        <f t="shared" si="19"/>
        <v>0</v>
      </c>
      <c r="V41" s="540" t="s">
        <v>141</v>
      </c>
      <c r="W41" s="1630">
        <f t="shared" si="25"/>
        <v>0</v>
      </c>
      <c r="X41" s="1630">
        <f t="shared" si="26"/>
        <v>0</v>
      </c>
      <c r="Y41" s="1630">
        <f t="shared" si="27"/>
        <v>0</v>
      </c>
      <c r="Z41" s="1637">
        <f t="shared" si="33"/>
        <v>0</v>
      </c>
      <c r="AA41" s="1637">
        <f t="shared" si="28"/>
        <v>0</v>
      </c>
      <c r="AB41" s="1637">
        <f t="shared" si="29"/>
        <v>0</v>
      </c>
      <c r="AC41" s="1630">
        <f t="shared" si="30"/>
        <v>0</v>
      </c>
      <c r="AD41" s="1630">
        <f t="shared" si="31"/>
        <v>0</v>
      </c>
      <c r="AE41" s="1630">
        <f t="shared" si="32"/>
        <v>0</v>
      </c>
      <c r="AF41" s="1672"/>
      <c r="AG41" s="1442">
        <f>C$107</f>
        <v>309.60527413836269</v>
      </c>
      <c r="AH41" s="1442">
        <f>D$107</f>
        <v>0.62</v>
      </c>
      <c r="AI41" s="1442">
        <f>E$107</f>
        <v>10</v>
      </c>
      <c r="AJ41" s="1443">
        <f t="shared" si="20"/>
        <v>0</v>
      </c>
      <c r="AK41" s="1444">
        <f t="shared" si="21"/>
        <v>0</v>
      </c>
      <c r="AL41" s="1437">
        <f t="shared" si="22"/>
        <v>0</v>
      </c>
      <c r="AM41" s="1096"/>
      <c r="AN41" s="1545"/>
      <c r="AO41" s="3182"/>
      <c r="AP41" s="3186"/>
      <c r="AQ41" s="2326">
        <v>0.1111</v>
      </c>
      <c r="AR41" s="3184">
        <f t="shared" si="34"/>
        <v>0.1111</v>
      </c>
      <c r="AS41" s="3185"/>
      <c r="AT41" s="2336">
        <f t="shared" si="35"/>
        <v>3.1496850000000003</v>
      </c>
      <c r="AU41" s="931"/>
      <c r="AV41" s="931"/>
      <c r="AW41" s="1096"/>
      <c r="AX41" s="1096"/>
      <c r="AY41" s="46"/>
      <c r="AZ41" s="1645" t="s">
        <v>727</v>
      </c>
      <c r="BA41" s="1384" t="s">
        <v>673</v>
      </c>
      <c r="BB41" s="1385" t="s">
        <v>674</v>
      </c>
      <c r="BC41" s="1384" t="s">
        <v>675</v>
      </c>
      <c r="BD41" s="1386">
        <v>78</v>
      </c>
      <c r="BE41" s="1386">
        <v>85</v>
      </c>
      <c r="BF41" s="2928">
        <f t="shared" si="3"/>
        <v>81.5</v>
      </c>
      <c r="BG41" s="1382" t="s">
        <v>679</v>
      </c>
      <c r="BH41" s="2930">
        <f t="shared" si="16"/>
        <v>17.222222222222221</v>
      </c>
      <c r="BI41" s="2930">
        <f t="shared" si="16"/>
        <v>23.888888888888886</v>
      </c>
      <c r="BJ41" s="1387">
        <v>63</v>
      </c>
      <c r="BK41" s="1387">
        <v>75</v>
      </c>
      <c r="BL41" s="2191"/>
    </row>
    <row r="42" spans="1:64" ht="15" customHeight="1">
      <c r="A42" s="3541"/>
      <c r="B42" s="2815" t="str">
        <f>B$108</f>
        <v>Extract (dry - extra light)</v>
      </c>
      <c r="C42" s="1167"/>
      <c r="D42" s="1167"/>
      <c r="E42" s="841" t="str">
        <f t="shared" si="23"/>
        <v>0g</v>
      </c>
      <c r="F42" s="1239">
        <f t="shared" si="17"/>
        <v>0</v>
      </c>
      <c r="G42" s="227">
        <f t="shared" si="18"/>
        <v>0</v>
      </c>
      <c r="H42" s="3531" t="s">
        <v>224</v>
      </c>
      <c r="I42" s="3532"/>
      <c r="J42" s="1454">
        <v>5.5</v>
      </c>
      <c r="K42" s="1455"/>
      <c r="L42" s="1456"/>
      <c r="M42" s="1457"/>
      <c r="N42" s="1458">
        <f t="shared" si="24"/>
        <v>0</v>
      </c>
      <c r="O42" s="1459">
        <f t="shared" si="24"/>
        <v>0</v>
      </c>
      <c r="P42" s="1460">
        <f t="shared" si="24"/>
        <v>0</v>
      </c>
      <c r="Q42" s="1277"/>
      <c r="R42" s="1278"/>
      <c r="S42" s="1279"/>
      <c r="T42" s="1255"/>
      <c r="U42" s="1453">
        <f t="shared" si="19"/>
        <v>0</v>
      </c>
      <c r="V42" s="540" t="s">
        <v>141</v>
      </c>
      <c r="W42" s="1630">
        <f t="shared" si="25"/>
        <v>0</v>
      </c>
      <c r="X42" s="1630">
        <f t="shared" si="26"/>
        <v>0</v>
      </c>
      <c r="Y42" s="1630">
        <f t="shared" si="27"/>
        <v>0</v>
      </c>
      <c r="Z42" s="1637">
        <f t="shared" si="33"/>
        <v>0</v>
      </c>
      <c r="AA42" s="1637">
        <f t="shared" si="28"/>
        <v>0</v>
      </c>
      <c r="AB42" s="1637">
        <f t="shared" si="29"/>
        <v>0</v>
      </c>
      <c r="AC42" s="1630">
        <f t="shared" si="30"/>
        <v>0</v>
      </c>
      <c r="AD42" s="1630">
        <f t="shared" si="31"/>
        <v>0</v>
      </c>
      <c r="AE42" s="1630">
        <f t="shared" si="32"/>
        <v>0</v>
      </c>
      <c r="AF42" s="1672"/>
      <c r="AG42" s="1442">
        <f>C$108</f>
        <v>364.68330134357007</v>
      </c>
      <c r="AH42" s="1442">
        <f>D$108</f>
        <v>0.62</v>
      </c>
      <c r="AI42" s="1442">
        <f>E$108</f>
        <v>6</v>
      </c>
      <c r="AJ42" s="1443">
        <f t="shared" si="20"/>
        <v>0</v>
      </c>
      <c r="AK42" s="1444">
        <f t="shared" si="21"/>
        <v>0</v>
      </c>
      <c r="AL42" s="1437">
        <f t="shared" si="22"/>
        <v>0</v>
      </c>
      <c r="AM42" s="1096"/>
      <c r="AN42" s="1255"/>
      <c r="AO42" s="1255"/>
      <c r="AP42" s="1255"/>
      <c r="AQ42" s="1255"/>
      <c r="AR42" s="1255"/>
      <c r="AS42" s="1255"/>
      <c r="AT42" s="1255"/>
      <c r="AU42" s="1255"/>
      <c r="AV42" s="1255"/>
      <c r="AW42" s="1255"/>
      <c r="AX42" s="2307"/>
      <c r="AY42" s="46"/>
      <c r="AZ42" s="1645" t="s">
        <v>728</v>
      </c>
      <c r="BA42" s="1384" t="s">
        <v>673</v>
      </c>
      <c r="BB42" s="1385" t="s">
        <v>674</v>
      </c>
      <c r="BC42" s="1384" t="s">
        <v>675</v>
      </c>
      <c r="BD42" s="1386">
        <v>74</v>
      </c>
      <c r="BE42" s="1386">
        <v>80</v>
      </c>
      <c r="BF42" s="2928">
        <f t="shared" si="3"/>
        <v>77</v>
      </c>
      <c r="BG42" s="1382" t="s">
        <v>688</v>
      </c>
      <c r="BH42" s="2930">
        <f t="shared" si="16"/>
        <v>21.111111111111114</v>
      </c>
      <c r="BI42" s="2930">
        <f t="shared" si="16"/>
        <v>35</v>
      </c>
      <c r="BJ42" s="1387">
        <v>70</v>
      </c>
      <c r="BK42" s="1387">
        <v>95</v>
      </c>
      <c r="BL42" s="2191"/>
    </row>
    <row r="43" spans="1:64" ht="15" customHeight="1">
      <c r="A43" s="3541"/>
      <c r="B43" s="2815" t="str">
        <f>B$109</f>
        <v>Black</v>
      </c>
      <c r="C43" s="1167"/>
      <c r="D43" s="1167"/>
      <c r="E43" s="841" t="str">
        <f t="shared" si="23"/>
        <v>0g</v>
      </c>
      <c r="F43" s="1239">
        <f t="shared" si="17"/>
        <v>0</v>
      </c>
      <c r="G43" s="227">
        <f t="shared" si="18"/>
        <v>0</v>
      </c>
      <c r="H43" s="3531" t="s">
        <v>225</v>
      </c>
      <c r="I43" s="3532"/>
      <c r="J43" s="1454">
        <v>4.5</v>
      </c>
      <c r="K43" s="1455">
        <v>2.14</v>
      </c>
      <c r="L43" s="1456"/>
      <c r="M43" s="1457"/>
      <c r="N43" s="1458">
        <v>2.14</v>
      </c>
      <c r="O43" s="1459">
        <f t="shared" si="24"/>
        <v>0</v>
      </c>
      <c r="P43" s="1460">
        <f t="shared" si="24"/>
        <v>0</v>
      </c>
      <c r="Q43" s="1277">
        <v>1.33</v>
      </c>
      <c r="R43" s="1278"/>
      <c r="S43" s="1279"/>
      <c r="T43" s="1255"/>
      <c r="U43" s="1453">
        <f t="shared" si="19"/>
        <v>0</v>
      </c>
      <c r="V43" s="540" t="s">
        <v>141</v>
      </c>
      <c r="W43" s="1630">
        <f t="shared" si="25"/>
        <v>9.6300000000000008</v>
      </c>
      <c r="X43" s="1630">
        <f t="shared" si="26"/>
        <v>0</v>
      </c>
      <c r="Y43" s="1630">
        <f t="shared" si="27"/>
        <v>0</v>
      </c>
      <c r="Z43" s="1637">
        <f t="shared" si="33"/>
        <v>9.6300000000000008</v>
      </c>
      <c r="AA43" s="1637">
        <f t="shared" si="28"/>
        <v>0</v>
      </c>
      <c r="AB43" s="1637">
        <f t="shared" si="29"/>
        <v>0</v>
      </c>
      <c r="AC43" s="1630">
        <f t="shared" si="30"/>
        <v>5.9850000000000003</v>
      </c>
      <c r="AD43" s="1630">
        <f t="shared" si="31"/>
        <v>0</v>
      </c>
      <c r="AE43" s="1630">
        <f t="shared" si="32"/>
        <v>0</v>
      </c>
      <c r="AF43" s="1672"/>
      <c r="AG43" s="1442">
        <f>C$109</f>
        <v>194.25</v>
      </c>
      <c r="AH43" s="1442">
        <f>D$109</f>
        <v>0.62</v>
      </c>
      <c r="AI43" s="1442">
        <f>E$109</f>
        <v>908.8</v>
      </c>
      <c r="AJ43" s="1443">
        <f t="shared" si="20"/>
        <v>0</v>
      </c>
      <c r="AK43" s="1444">
        <f t="shared" si="21"/>
        <v>0</v>
      </c>
      <c r="AL43" s="1437">
        <f t="shared" si="22"/>
        <v>0</v>
      </c>
      <c r="AM43" s="1096"/>
      <c r="AN43" s="3187" t="s">
        <v>1659</v>
      </c>
      <c r="AO43" s="3187"/>
      <c r="AP43" s="3187"/>
      <c r="AQ43" s="3187"/>
      <c r="AR43" s="3187"/>
      <c r="AS43" s="3187"/>
      <c r="AT43" s="3187"/>
      <c r="AU43" s="1255"/>
      <c r="AV43" s="1255"/>
      <c r="AW43" s="1255"/>
      <c r="AX43" s="2307"/>
      <c r="AY43" s="46"/>
      <c r="AZ43" s="1645" t="s">
        <v>729</v>
      </c>
      <c r="BA43" s="1384" t="s">
        <v>690</v>
      </c>
      <c r="BB43" s="1385" t="s">
        <v>674</v>
      </c>
      <c r="BC43" s="1384" t="s">
        <v>675</v>
      </c>
      <c r="BD43" s="1386">
        <v>72</v>
      </c>
      <c r="BE43" s="1386">
        <v>76</v>
      </c>
      <c r="BF43" s="2928">
        <f t="shared" si="3"/>
        <v>74</v>
      </c>
      <c r="BG43" s="1397">
        <v>12</v>
      </c>
      <c r="BH43" s="2930">
        <f t="shared" si="16"/>
        <v>20</v>
      </c>
      <c r="BI43" s="2930">
        <f t="shared" si="16"/>
        <v>25.555555555555557</v>
      </c>
      <c r="BJ43" s="1387">
        <v>68</v>
      </c>
      <c r="BK43" s="1387">
        <v>78</v>
      </c>
      <c r="BL43" s="2191"/>
    </row>
    <row r="44" spans="1:64" ht="15" customHeight="1">
      <c r="A44" s="3541"/>
      <c r="B44" s="2815" t="str">
        <f>B$110</f>
        <v>Chocolate</v>
      </c>
      <c r="C44" s="1167"/>
      <c r="D44" s="1167"/>
      <c r="E44" s="841" t="str">
        <f t="shared" si="23"/>
        <v>0g</v>
      </c>
      <c r="F44" s="1239">
        <f t="shared" si="17"/>
        <v>0</v>
      </c>
      <c r="G44" s="227">
        <f t="shared" si="18"/>
        <v>0</v>
      </c>
      <c r="H44" s="3531" t="s">
        <v>226</v>
      </c>
      <c r="I44" s="3532"/>
      <c r="J44" s="1454">
        <v>5.3</v>
      </c>
      <c r="K44" s="1455"/>
      <c r="L44" s="1456"/>
      <c r="M44" s="1457">
        <v>1.3</v>
      </c>
      <c r="N44" s="1458">
        <f t="shared" si="24"/>
        <v>0</v>
      </c>
      <c r="O44" s="1459">
        <f t="shared" si="24"/>
        <v>0</v>
      </c>
      <c r="P44" s="1460">
        <f t="shared" si="24"/>
        <v>1.3</v>
      </c>
      <c r="Q44" s="1277"/>
      <c r="R44" s="1278"/>
      <c r="S44" s="1279">
        <v>0.84</v>
      </c>
      <c r="T44" s="1255"/>
      <c r="U44" s="1453">
        <f t="shared" si="19"/>
        <v>0</v>
      </c>
      <c r="V44" s="540" t="s">
        <v>141</v>
      </c>
      <c r="W44" s="1630">
        <f t="shared" si="25"/>
        <v>0</v>
      </c>
      <c r="X44" s="1630">
        <f t="shared" si="26"/>
        <v>0</v>
      </c>
      <c r="Y44" s="1630">
        <f t="shared" si="27"/>
        <v>6.89</v>
      </c>
      <c r="Z44" s="1637">
        <f t="shared" si="33"/>
        <v>0</v>
      </c>
      <c r="AA44" s="1637">
        <f t="shared" si="28"/>
        <v>0</v>
      </c>
      <c r="AB44" s="1637">
        <f t="shared" si="29"/>
        <v>6.89</v>
      </c>
      <c r="AC44" s="1630">
        <f t="shared" si="30"/>
        <v>0</v>
      </c>
      <c r="AD44" s="1630">
        <f t="shared" si="31"/>
        <v>0</v>
      </c>
      <c r="AE44" s="1630">
        <f t="shared" si="32"/>
        <v>4.452</v>
      </c>
      <c r="AF44" s="1672"/>
      <c r="AG44" s="1442">
        <f>C$110</f>
        <v>213.75</v>
      </c>
      <c r="AH44" s="1442">
        <f>D$110</f>
        <v>0.62</v>
      </c>
      <c r="AI44" s="1442">
        <f>E$110</f>
        <v>763.2</v>
      </c>
      <c r="AJ44" s="1443">
        <f t="shared" si="20"/>
        <v>0</v>
      </c>
      <c r="AK44" s="1444">
        <f t="shared" si="21"/>
        <v>0</v>
      </c>
      <c r="AL44" s="1437">
        <f t="shared" si="22"/>
        <v>0</v>
      </c>
      <c r="AM44" s="1096"/>
      <c r="AN44" s="1255"/>
      <c r="AO44" s="3168" t="s">
        <v>23</v>
      </c>
      <c r="AP44" s="3168"/>
      <c r="AQ44" s="2367" t="s">
        <v>1530</v>
      </c>
      <c r="AR44" s="3169" t="s">
        <v>141</v>
      </c>
      <c r="AS44" s="3170"/>
      <c r="AT44" s="1255"/>
      <c r="AU44" s="1255"/>
      <c r="AV44" s="1255"/>
      <c r="AW44" s="1255"/>
      <c r="AX44" s="2307"/>
      <c r="AY44" s="46"/>
      <c r="AZ44" s="1645" t="s">
        <v>730</v>
      </c>
      <c r="BA44" s="1384" t="s">
        <v>673</v>
      </c>
      <c r="BB44" s="1385" t="s">
        <v>674</v>
      </c>
      <c r="BC44" s="1384" t="s">
        <v>691</v>
      </c>
      <c r="BD44" s="1386">
        <v>74</v>
      </c>
      <c r="BE44" s="1386">
        <v>78</v>
      </c>
      <c r="BF44" s="2928">
        <f t="shared" si="3"/>
        <v>76</v>
      </c>
      <c r="BG44" s="1382" t="s">
        <v>676</v>
      </c>
      <c r="BH44" s="2930">
        <f t="shared" si="16"/>
        <v>19.444444444444443</v>
      </c>
      <c r="BI44" s="2930">
        <f t="shared" si="16"/>
        <v>23.333333333333336</v>
      </c>
      <c r="BJ44" s="1387">
        <v>67</v>
      </c>
      <c r="BK44" s="1387">
        <v>74</v>
      </c>
      <c r="BL44" s="2191"/>
    </row>
    <row r="45" spans="1:64" ht="15" customHeight="1">
      <c r="A45" s="3541"/>
      <c r="B45" s="2815" t="str">
        <f>B$111</f>
        <v>Crystal (light)</v>
      </c>
      <c r="C45" s="1167"/>
      <c r="D45" s="1167"/>
      <c r="E45" s="841" t="str">
        <f t="shared" si="23"/>
        <v>0g</v>
      </c>
      <c r="F45" s="1239">
        <f t="shared" si="17"/>
        <v>0</v>
      </c>
      <c r="G45" s="227">
        <f t="shared" si="18"/>
        <v>0</v>
      </c>
      <c r="H45" s="3531" t="s">
        <v>1542</v>
      </c>
      <c r="I45" s="3532"/>
      <c r="J45" s="1454">
        <v>4.5</v>
      </c>
      <c r="K45" s="1455"/>
      <c r="L45" s="1456"/>
      <c r="M45" s="1457"/>
      <c r="N45" s="1458">
        <f t="shared" si="24"/>
        <v>0</v>
      </c>
      <c r="O45" s="1459">
        <f t="shared" si="24"/>
        <v>0</v>
      </c>
      <c r="P45" s="1460">
        <f t="shared" si="24"/>
        <v>0</v>
      </c>
      <c r="Q45" s="1277"/>
      <c r="R45" s="1278"/>
      <c r="S45" s="1279"/>
      <c r="T45" s="1255"/>
      <c r="U45" s="1453">
        <f t="shared" si="19"/>
        <v>0</v>
      </c>
      <c r="V45" s="540" t="s">
        <v>141</v>
      </c>
      <c r="W45" s="1630">
        <f t="shared" si="25"/>
        <v>0</v>
      </c>
      <c r="X45" s="1630">
        <f t="shared" si="26"/>
        <v>0</v>
      </c>
      <c r="Y45" s="1630">
        <f t="shared" si="27"/>
        <v>0</v>
      </c>
      <c r="Z45" s="1637">
        <f t="shared" si="33"/>
        <v>0</v>
      </c>
      <c r="AA45" s="1637">
        <f t="shared" si="28"/>
        <v>0</v>
      </c>
      <c r="AB45" s="1637">
        <f t="shared" si="29"/>
        <v>0</v>
      </c>
      <c r="AC45" s="1630">
        <f t="shared" si="30"/>
        <v>0</v>
      </c>
      <c r="AD45" s="1630">
        <f t="shared" si="31"/>
        <v>0</v>
      </c>
      <c r="AE45" s="1630">
        <f t="shared" si="32"/>
        <v>0</v>
      </c>
      <c r="AF45" s="1672"/>
      <c r="AG45" s="1442">
        <f>C$111</f>
        <v>212.25</v>
      </c>
      <c r="AH45" s="1442">
        <f>D$111</f>
        <v>0.62</v>
      </c>
      <c r="AI45" s="1442">
        <f>E$111</f>
        <v>77.7</v>
      </c>
      <c r="AJ45" s="1443">
        <f t="shared" si="20"/>
        <v>0</v>
      </c>
      <c r="AK45" s="1444">
        <f t="shared" si="21"/>
        <v>0</v>
      </c>
      <c r="AL45" s="1437">
        <f t="shared" si="22"/>
        <v>0</v>
      </c>
      <c r="AM45" s="1096"/>
      <c r="AN45" s="1255"/>
      <c r="AO45" s="3139">
        <f>AQ45/28.3495</f>
        <v>7.5839080054321939E-2</v>
      </c>
      <c r="AP45" s="3139"/>
      <c r="AQ45" s="2368">
        <v>2.15</v>
      </c>
      <c r="AR45" s="3140">
        <f t="shared" ref="AR45:AR53" si="36">AQ45*28.3495</f>
        <v>60.951424999999993</v>
      </c>
      <c r="AS45" s="3141"/>
      <c r="AT45" s="1255"/>
      <c r="AU45" s="1255"/>
      <c r="AV45" s="1255"/>
      <c r="AW45" s="1255"/>
      <c r="AX45" s="2307"/>
      <c r="AY45" s="46"/>
      <c r="AZ45" s="1645" t="s">
        <v>731</v>
      </c>
      <c r="BA45" s="1384" t="s">
        <v>673</v>
      </c>
      <c r="BB45" s="1385" t="s">
        <v>674</v>
      </c>
      <c r="BC45" s="1384" t="s">
        <v>691</v>
      </c>
      <c r="BD45" s="1386">
        <v>70</v>
      </c>
      <c r="BE45" s="1386">
        <v>75</v>
      </c>
      <c r="BF45" s="2928">
        <f t="shared" si="3"/>
        <v>72.5</v>
      </c>
      <c r="BG45" s="1382" t="s">
        <v>676</v>
      </c>
      <c r="BH45" s="2930">
        <f t="shared" si="16"/>
        <v>17.777777777777779</v>
      </c>
      <c r="BI45" s="2930">
        <f t="shared" si="16"/>
        <v>26.666666666666671</v>
      </c>
      <c r="BJ45" s="1387">
        <v>64</v>
      </c>
      <c r="BK45" s="1387">
        <v>80</v>
      </c>
      <c r="BL45" s="2191"/>
    </row>
    <row r="46" spans="1:64" ht="15" customHeight="1">
      <c r="A46" s="3541"/>
      <c r="B46" s="2815" t="str">
        <f>B$112</f>
        <v>Crystal (medium)</v>
      </c>
      <c r="C46" s="1167"/>
      <c r="D46" s="1167">
        <v>10</v>
      </c>
      <c r="E46" s="841" t="str">
        <f t="shared" si="23"/>
        <v>284g</v>
      </c>
      <c r="F46" s="1239">
        <f t="shared" si="17"/>
        <v>8.2266910420475305</v>
      </c>
      <c r="G46" s="227">
        <f t="shared" si="18"/>
        <v>6.9215109703686943</v>
      </c>
      <c r="H46" s="3531" t="s">
        <v>1543</v>
      </c>
      <c r="I46" s="3532"/>
      <c r="J46" s="1454">
        <v>4.5</v>
      </c>
      <c r="K46" s="1455"/>
      <c r="L46" s="1456"/>
      <c r="M46" s="1457"/>
      <c r="N46" s="1458">
        <f t="shared" si="24"/>
        <v>0</v>
      </c>
      <c r="O46" s="1459">
        <f t="shared" si="24"/>
        <v>0</v>
      </c>
      <c r="P46" s="1460">
        <f t="shared" si="24"/>
        <v>0</v>
      </c>
      <c r="Q46" s="1277"/>
      <c r="R46" s="1278"/>
      <c r="S46" s="1279"/>
      <c r="T46" s="1255"/>
      <c r="U46" s="1453">
        <f t="shared" si="19"/>
        <v>283.5</v>
      </c>
      <c r="V46" s="540" t="s">
        <v>141</v>
      </c>
      <c r="W46" s="1630">
        <f t="shared" si="25"/>
        <v>0</v>
      </c>
      <c r="X46" s="1630">
        <f t="shared" si="26"/>
        <v>0</v>
      </c>
      <c r="Y46" s="1630">
        <f t="shared" si="27"/>
        <v>0</v>
      </c>
      <c r="Z46" s="1637">
        <f t="shared" si="33"/>
        <v>0</v>
      </c>
      <c r="AA46" s="1637">
        <f t="shared" si="28"/>
        <v>0</v>
      </c>
      <c r="AB46" s="1637">
        <f t="shared" si="29"/>
        <v>0</v>
      </c>
      <c r="AC46" s="1630">
        <f t="shared" si="30"/>
        <v>0</v>
      </c>
      <c r="AD46" s="1630">
        <f t="shared" si="31"/>
        <v>0</v>
      </c>
      <c r="AE46" s="1630">
        <f t="shared" si="32"/>
        <v>0</v>
      </c>
      <c r="AF46" s="1672"/>
      <c r="AG46" s="1442">
        <f>C$112</f>
        <v>204</v>
      </c>
      <c r="AH46" s="1442">
        <f>D$112</f>
        <v>0.62</v>
      </c>
      <c r="AI46" s="1442">
        <f>E$112</f>
        <v>103.6</v>
      </c>
      <c r="AJ46" s="1443">
        <f t="shared" si="20"/>
        <v>57.834000000000003</v>
      </c>
      <c r="AK46" s="1444">
        <f t="shared" si="21"/>
        <v>35.857080000000003</v>
      </c>
      <c r="AL46" s="1437">
        <f t="shared" si="22"/>
        <v>293.70600000000002</v>
      </c>
      <c r="AM46" s="1096"/>
      <c r="AN46" s="1255"/>
      <c r="AO46" s="3139">
        <f t="shared" ref="AO46:AO50" si="37">AQ46/28.3495</f>
        <v>4.5856187939822574E-2</v>
      </c>
      <c r="AP46" s="3139"/>
      <c r="AQ46" s="2368">
        <v>1.3</v>
      </c>
      <c r="AR46" s="3140">
        <f t="shared" si="36"/>
        <v>36.854349999999997</v>
      </c>
      <c r="AS46" s="3141"/>
      <c r="AT46" s="1255"/>
      <c r="AU46" s="1255"/>
      <c r="AV46" s="1255"/>
      <c r="AW46" s="1255"/>
      <c r="AX46" s="2307"/>
      <c r="AY46" s="46"/>
      <c r="AZ46" s="1645" t="s">
        <v>732</v>
      </c>
      <c r="BA46" s="1384" t="s">
        <v>690</v>
      </c>
      <c r="BB46" s="1385" t="s">
        <v>674</v>
      </c>
      <c r="BC46" s="1384" t="s">
        <v>675</v>
      </c>
      <c r="BD46" s="1386">
        <v>72</v>
      </c>
      <c r="BE46" s="1386">
        <v>76</v>
      </c>
      <c r="BF46" s="2928">
        <f t="shared" si="3"/>
        <v>74</v>
      </c>
      <c r="BG46" s="1397" t="s">
        <v>572</v>
      </c>
      <c r="BH46" s="2930">
        <f t="shared" si="16"/>
        <v>18.888888888888886</v>
      </c>
      <c r="BI46" s="2930">
        <f t="shared" si="16"/>
        <v>22.222222222222221</v>
      </c>
      <c r="BJ46" s="1387">
        <v>66</v>
      </c>
      <c r="BK46" s="1387">
        <v>72</v>
      </c>
      <c r="BL46" s="2191"/>
    </row>
    <row r="47" spans="1:64" ht="15" customHeight="1">
      <c r="A47" s="3541"/>
      <c r="B47" s="2815" t="str">
        <f t="shared" ref="B47:B52" si="38">B113</f>
        <v>Crystal (dark)</v>
      </c>
      <c r="C47" s="1167"/>
      <c r="D47" s="1167"/>
      <c r="E47" s="841" t="str">
        <f t="shared" si="23"/>
        <v>0g</v>
      </c>
      <c r="F47" s="1239">
        <f t="shared" si="17"/>
        <v>0</v>
      </c>
      <c r="G47" s="227">
        <f t="shared" si="18"/>
        <v>0</v>
      </c>
      <c r="H47" s="3531" t="s">
        <v>227</v>
      </c>
      <c r="I47" s="3532"/>
      <c r="J47" s="1454">
        <v>7.5</v>
      </c>
      <c r="K47" s="1455"/>
      <c r="L47" s="1456"/>
      <c r="M47" s="1457"/>
      <c r="N47" s="1458">
        <f t="shared" si="24"/>
        <v>0</v>
      </c>
      <c r="O47" s="1459">
        <f t="shared" si="24"/>
        <v>0</v>
      </c>
      <c r="P47" s="1460">
        <f t="shared" si="24"/>
        <v>0</v>
      </c>
      <c r="Q47" s="1277"/>
      <c r="R47" s="1278"/>
      <c r="S47" s="1279"/>
      <c r="T47" s="1255"/>
      <c r="U47" s="1453">
        <f t="shared" si="19"/>
        <v>0</v>
      </c>
      <c r="V47" s="540" t="s">
        <v>141</v>
      </c>
      <c r="W47" s="1630">
        <f t="shared" si="25"/>
        <v>0</v>
      </c>
      <c r="X47" s="1630">
        <f t="shared" si="26"/>
        <v>0</v>
      </c>
      <c r="Y47" s="1630">
        <f t="shared" si="27"/>
        <v>0</v>
      </c>
      <c r="Z47" s="1637">
        <f t="shared" si="33"/>
        <v>0</v>
      </c>
      <c r="AA47" s="1637">
        <f t="shared" si="28"/>
        <v>0</v>
      </c>
      <c r="AB47" s="1637">
        <f t="shared" si="29"/>
        <v>0</v>
      </c>
      <c r="AC47" s="1630">
        <f t="shared" si="30"/>
        <v>0</v>
      </c>
      <c r="AD47" s="1630">
        <f t="shared" si="31"/>
        <v>0</v>
      </c>
      <c r="AE47" s="1630">
        <f t="shared" si="32"/>
        <v>0</v>
      </c>
      <c r="AF47" s="1098"/>
      <c r="AG47" s="1441">
        <f>C$113</f>
        <v>203.25</v>
      </c>
      <c r="AH47" s="1442">
        <f t="shared" ref="AH47:AI55" si="39">D113</f>
        <v>0.62</v>
      </c>
      <c r="AI47" s="1441">
        <f t="shared" si="39"/>
        <v>148</v>
      </c>
      <c r="AJ47" s="1443">
        <f t="shared" si="20"/>
        <v>0</v>
      </c>
      <c r="AK47" s="1444">
        <f t="shared" si="21"/>
        <v>0</v>
      </c>
      <c r="AL47" s="1437">
        <f t="shared" si="22"/>
        <v>0</v>
      </c>
      <c r="AM47" s="1096"/>
      <c r="AN47" s="1255"/>
      <c r="AO47" s="3139">
        <f t="shared" si="37"/>
        <v>7.5486340147092545E-2</v>
      </c>
      <c r="AP47" s="3139"/>
      <c r="AQ47" s="2368">
        <v>2.14</v>
      </c>
      <c r="AR47" s="3140">
        <f t="shared" si="36"/>
        <v>60.667929999999998</v>
      </c>
      <c r="AS47" s="3141"/>
      <c r="AT47" s="1255"/>
      <c r="AU47" s="1255"/>
      <c r="AV47" s="1255"/>
      <c r="AW47" s="1255"/>
      <c r="AX47" s="2307"/>
      <c r="AY47" s="46"/>
      <c r="AZ47" s="1645" t="s">
        <v>733</v>
      </c>
      <c r="BA47" s="1384" t="s">
        <v>673</v>
      </c>
      <c r="BB47" s="1385" t="s">
        <v>674</v>
      </c>
      <c r="BC47" s="1384" t="s">
        <v>675</v>
      </c>
      <c r="BD47" s="1406">
        <v>73</v>
      </c>
      <c r="BE47" s="1386">
        <v>80</v>
      </c>
      <c r="BF47" s="2928">
        <f t="shared" si="3"/>
        <v>76.5</v>
      </c>
      <c r="BG47" s="1461" t="s">
        <v>676</v>
      </c>
      <c r="BH47" s="2930">
        <f t="shared" si="16"/>
        <v>20</v>
      </c>
      <c r="BI47" s="2930">
        <f t="shared" si="16"/>
        <v>23.888888888888886</v>
      </c>
      <c r="BJ47" s="1387">
        <v>68</v>
      </c>
      <c r="BK47" s="1387">
        <v>75</v>
      </c>
      <c r="BL47" s="2191"/>
    </row>
    <row r="48" spans="1:64" ht="15" customHeight="1">
      <c r="A48" s="3541"/>
      <c r="B48" s="2815" t="str">
        <f t="shared" si="38"/>
        <v>Flaked maize</v>
      </c>
      <c r="C48" s="1167"/>
      <c r="D48" s="1167"/>
      <c r="E48" s="841" t="str">
        <f t="shared" si="23"/>
        <v>0g</v>
      </c>
      <c r="F48" s="1239">
        <f t="shared" si="17"/>
        <v>0</v>
      </c>
      <c r="G48" s="227">
        <f>IF(AJ48=0,0,AJ48*100/$U$59)</f>
        <v>0</v>
      </c>
      <c r="H48" s="3531" t="s">
        <v>228</v>
      </c>
      <c r="I48" s="3532"/>
      <c r="J48" s="1454">
        <v>9.25</v>
      </c>
      <c r="K48" s="1455"/>
      <c r="L48" s="1456"/>
      <c r="M48" s="1457"/>
      <c r="N48" s="1458">
        <f t="shared" si="24"/>
        <v>0</v>
      </c>
      <c r="O48" s="1459">
        <f t="shared" si="24"/>
        <v>0</v>
      </c>
      <c r="P48" s="1460">
        <f t="shared" si="24"/>
        <v>0</v>
      </c>
      <c r="Q48" s="1277"/>
      <c r="R48" s="1278"/>
      <c r="S48" s="1279"/>
      <c r="T48" s="1255"/>
      <c r="U48" s="1453">
        <f t="shared" si="19"/>
        <v>0</v>
      </c>
      <c r="V48" s="540" t="s">
        <v>141</v>
      </c>
      <c r="W48" s="1630">
        <f t="shared" si="25"/>
        <v>0</v>
      </c>
      <c r="X48" s="1630">
        <f t="shared" si="26"/>
        <v>0</v>
      </c>
      <c r="Y48" s="1630">
        <f t="shared" si="27"/>
        <v>0</v>
      </c>
      <c r="Z48" s="1637">
        <f t="shared" si="33"/>
        <v>0</v>
      </c>
      <c r="AA48" s="1637">
        <f t="shared" si="28"/>
        <v>0</v>
      </c>
      <c r="AB48" s="1637">
        <f t="shared" si="29"/>
        <v>0</v>
      </c>
      <c r="AC48" s="1630">
        <f t="shared" si="30"/>
        <v>0</v>
      </c>
      <c r="AD48" s="1630">
        <f t="shared" si="31"/>
        <v>0</v>
      </c>
      <c r="AE48" s="1630">
        <f t="shared" si="32"/>
        <v>0</v>
      </c>
      <c r="AF48" s="1672"/>
      <c r="AG48" s="1441">
        <f>C$114</f>
        <v>234.75</v>
      </c>
      <c r="AH48" s="1442">
        <f t="shared" si="39"/>
        <v>0.62</v>
      </c>
      <c r="AI48" s="1441">
        <f t="shared" si="39"/>
        <v>0.71</v>
      </c>
      <c r="AJ48" s="1443">
        <f t="shared" si="20"/>
        <v>0</v>
      </c>
      <c r="AK48" s="1444">
        <f t="shared" si="21"/>
        <v>0</v>
      </c>
      <c r="AL48" s="1437">
        <f t="shared" si="22"/>
        <v>0</v>
      </c>
      <c r="AM48" s="1096"/>
      <c r="AN48" s="1255"/>
      <c r="AO48" s="3139">
        <f t="shared" si="37"/>
        <v>4.6914407661510789E-2</v>
      </c>
      <c r="AP48" s="3139"/>
      <c r="AQ48" s="2368">
        <v>1.33</v>
      </c>
      <c r="AR48" s="3140">
        <f t="shared" si="36"/>
        <v>37.704835000000003</v>
      </c>
      <c r="AS48" s="3141"/>
      <c r="AT48" s="1255"/>
      <c r="AU48" s="1255"/>
      <c r="AV48" s="1255"/>
      <c r="AW48" s="1255"/>
      <c r="AX48" s="2307"/>
      <c r="AY48" s="46"/>
      <c r="AZ48" s="1698" t="s">
        <v>734</v>
      </c>
      <c r="BA48" s="1384" t="s">
        <v>690</v>
      </c>
      <c r="BB48" s="1385" t="s">
        <v>674</v>
      </c>
      <c r="BC48" s="1384" t="s">
        <v>686</v>
      </c>
      <c r="BD48" s="1386">
        <v>74</v>
      </c>
      <c r="BE48" s="1386">
        <v>79</v>
      </c>
      <c r="BF48" s="2928">
        <f t="shared" si="3"/>
        <v>76.5</v>
      </c>
      <c r="BG48" s="1397">
        <v>12</v>
      </c>
      <c r="BH48" s="2930">
        <f t="shared" si="16"/>
        <v>17.777777777777779</v>
      </c>
      <c r="BI48" s="2930">
        <f t="shared" si="16"/>
        <v>23.888888888888886</v>
      </c>
      <c r="BJ48" s="1387">
        <v>64</v>
      </c>
      <c r="BK48" s="1387">
        <v>75</v>
      </c>
      <c r="BL48" s="2191"/>
    </row>
    <row r="49" spans="1:64" ht="15" customHeight="1">
      <c r="A49" s="3541"/>
      <c r="B49" s="2815" t="str">
        <f t="shared" si="38"/>
        <v>Wheat flour</v>
      </c>
      <c r="C49" s="1167"/>
      <c r="D49" s="1167"/>
      <c r="E49" s="841" t="str">
        <f t="shared" si="23"/>
        <v>0g</v>
      </c>
      <c r="F49" s="1239">
        <f t="shared" si="17"/>
        <v>0</v>
      </c>
      <c r="G49" s="227">
        <f t="shared" si="18"/>
        <v>0</v>
      </c>
      <c r="H49" s="3531" t="s">
        <v>229</v>
      </c>
      <c r="I49" s="3532"/>
      <c r="J49" s="1454">
        <v>6.2</v>
      </c>
      <c r="K49" s="1455"/>
      <c r="L49" s="1456"/>
      <c r="M49" s="1457"/>
      <c r="N49" s="1458">
        <f t="shared" si="24"/>
        <v>0</v>
      </c>
      <c r="O49" s="1459">
        <f t="shared" si="24"/>
        <v>0</v>
      </c>
      <c r="P49" s="1460">
        <f t="shared" si="24"/>
        <v>0</v>
      </c>
      <c r="Q49" s="1277"/>
      <c r="R49" s="1278"/>
      <c r="S49" s="1279"/>
      <c r="T49" s="1255"/>
      <c r="U49" s="1453">
        <f t="shared" si="19"/>
        <v>0</v>
      </c>
      <c r="V49" s="540" t="s">
        <v>141</v>
      </c>
      <c r="W49" s="1630">
        <f t="shared" si="25"/>
        <v>0</v>
      </c>
      <c r="X49" s="1630">
        <f t="shared" si="26"/>
        <v>0</v>
      </c>
      <c r="Y49" s="1630">
        <f t="shared" si="27"/>
        <v>0</v>
      </c>
      <c r="Z49" s="1637">
        <f t="shared" si="33"/>
        <v>0</v>
      </c>
      <c r="AA49" s="1637">
        <f t="shared" si="28"/>
        <v>0</v>
      </c>
      <c r="AB49" s="1637">
        <f t="shared" si="29"/>
        <v>0</v>
      </c>
      <c r="AC49" s="1630">
        <f t="shared" si="30"/>
        <v>0</v>
      </c>
      <c r="AD49" s="1630">
        <f t="shared" si="31"/>
        <v>0</v>
      </c>
      <c r="AE49" s="1630">
        <f t="shared" si="32"/>
        <v>0</v>
      </c>
      <c r="AF49" s="1672"/>
      <c r="AG49" s="1441">
        <f t="shared" ref="AG49:AG55" si="40">C115</f>
        <v>228</v>
      </c>
      <c r="AH49" s="1442">
        <f t="shared" si="39"/>
        <v>0.62</v>
      </c>
      <c r="AI49" s="1441">
        <f t="shared" si="39"/>
        <v>0</v>
      </c>
      <c r="AJ49" s="1443">
        <f t="shared" si="20"/>
        <v>0</v>
      </c>
      <c r="AK49" s="1444">
        <f t="shared" si="21"/>
        <v>0</v>
      </c>
      <c r="AL49" s="1437">
        <f t="shared" si="22"/>
        <v>0</v>
      </c>
      <c r="AM49" s="1096"/>
      <c r="AN49" s="1255"/>
      <c r="AO49" s="3139">
        <f t="shared" si="37"/>
        <v>2.9630152207269968E-2</v>
      </c>
      <c r="AP49" s="3139"/>
      <c r="AQ49" s="2368">
        <v>0.84</v>
      </c>
      <c r="AR49" s="3140">
        <f t="shared" si="36"/>
        <v>23.813579999999998</v>
      </c>
      <c r="AS49" s="3141"/>
      <c r="AT49" s="1255"/>
      <c r="AU49" s="1255"/>
      <c r="AV49" s="1255"/>
      <c r="AW49" s="1255"/>
      <c r="AX49" s="2307"/>
      <c r="AY49" s="46"/>
      <c r="AZ49" s="1645" t="s">
        <v>735</v>
      </c>
      <c r="BA49" s="1384" t="s">
        <v>690</v>
      </c>
      <c r="BB49" s="1385" t="s">
        <v>674</v>
      </c>
      <c r="BC49" s="1384" t="s">
        <v>711</v>
      </c>
      <c r="BD49" s="1386">
        <v>73</v>
      </c>
      <c r="BE49" s="1386">
        <v>77</v>
      </c>
      <c r="BF49" s="2928">
        <f t="shared" si="3"/>
        <v>75</v>
      </c>
      <c r="BG49" s="1397">
        <v>9</v>
      </c>
      <c r="BH49" s="2930">
        <f t="shared" si="16"/>
        <v>17.777777777777779</v>
      </c>
      <c r="BI49" s="2930">
        <f t="shared" si="16"/>
        <v>23.333333333333336</v>
      </c>
      <c r="BJ49" s="1387">
        <v>64</v>
      </c>
      <c r="BK49" s="1387">
        <v>74</v>
      </c>
      <c r="BL49" s="2191"/>
    </row>
    <row r="50" spans="1:64" ht="15" customHeight="1">
      <c r="A50" s="3541"/>
      <c r="B50" s="2815" t="str">
        <f t="shared" si="38"/>
        <v>Roast barley</v>
      </c>
      <c r="C50" s="1167"/>
      <c r="D50" s="1167"/>
      <c r="E50" s="841" t="str">
        <f t="shared" si="23"/>
        <v>0g</v>
      </c>
      <c r="F50" s="1239">
        <f t="shared" si="17"/>
        <v>0</v>
      </c>
      <c r="G50" s="227">
        <f t="shared" si="18"/>
        <v>0</v>
      </c>
      <c r="H50" s="3531" t="s">
        <v>230</v>
      </c>
      <c r="I50" s="3532"/>
      <c r="J50" s="1454">
        <v>3.6</v>
      </c>
      <c r="K50" s="1455"/>
      <c r="L50" s="1456"/>
      <c r="M50" s="1457"/>
      <c r="N50" s="1458">
        <f t="shared" si="24"/>
        <v>0</v>
      </c>
      <c r="O50" s="1459">
        <f t="shared" si="24"/>
        <v>0</v>
      </c>
      <c r="P50" s="1460">
        <f t="shared" si="24"/>
        <v>0</v>
      </c>
      <c r="Q50" s="1277"/>
      <c r="R50" s="1278"/>
      <c r="S50" s="1279"/>
      <c r="T50" s="1255"/>
      <c r="U50" s="1453">
        <f t="shared" si="19"/>
        <v>0</v>
      </c>
      <c r="V50" s="540" t="s">
        <v>141</v>
      </c>
      <c r="W50" s="1630">
        <f t="shared" si="25"/>
        <v>0</v>
      </c>
      <c r="X50" s="1630">
        <f t="shared" si="26"/>
        <v>0</v>
      </c>
      <c r="Y50" s="1630">
        <f t="shared" si="27"/>
        <v>0</v>
      </c>
      <c r="Z50" s="1637">
        <f t="shared" si="33"/>
        <v>0</v>
      </c>
      <c r="AA50" s="1637">
        <f t="shared" si="28"/>
        <v>0</v>
      </c>
      <c r="AB50" s="1637">
        <f t="shared" si="29"/>
        <v>0</v>
      </c>
      <c r="AC50" s="1630">
        <f t="shared" si="30"/>
        <v>0</v>
      </c>
      <c r="AD50" s="1630">
        <f t="shared" si="31"/>
        <v>0</v>
      </c>
      <c r="AE50" s="1630">
        <f t="shared" si="32"/>
        <v>0</v>
      </c>
      <c r="AF50" s="1098"/>
      <c r="AG50" s="1441">
        <f t="shared" si="40"/>
        <v>207</v>
      </c>
      <c r="AH50" s="1442">
        <f t="shared" si="39"/>
        <v>0.62</v>
      </c>
      <c r="AI50" s="1441">
        <f t="shared" si="39"/>
        <v>902.8</v>
      </c>
      <c r="AJ50" s="1443">
        <f t="shared" si="20"/>
        <v>0</v>
      </c>
      <c r="AK50" s="1444">
        <f t="shared" si="21"/>
        <v>0</v>
      </c>
      <c r="AL50" s="1437">
        <f t="shared" si="22"/>
        <v>0</v>
      </c>
      <c r="AM50" s="1096"/>
      <c r="AN50" s="1255"/>
      <c r="AO50" s="3139">
        <f t="shared" si="37"/>
        <v>0</v>
      </c>
      <c r="AP50" s="3139"/>
      <c r="AQ50" s="2368">
        <v>0</v>
      </c>
      <c r="AR50" s="3140">
        <f t="shared" si="36"/>
        <v>0</v>
      </c>
      <c r="AS50" s="3141"/>
      <c r="AT50" s="1255"/>
      <c r="AU50" s="1255"/>
      <c r="AV50" s="1255"/>
      <c r="AW50" s="1255"/>
      <c r="AX50" s="2307"/>
      <c r="AY50" s="46"/>
      <c r="AZ50" s="1645" t="s">
        <v>736</v>
      </c>
      <c r="BA50" s="1384" t="s">
        <v>673</v>
      </c>
      <c r="BB50" s="1385" t="s">
        <v>674</v>
      </c>
      <c r="BC50" s="1384" t="s">
        <v>724</v>
      </c>
      <c r="BD50" s="1396" t="s">
        <v>724</v>
      </c>
      <c r="BE50" s="1396" t="s">
        <v>724</v>
      </c>
      <c r="BF50" s="2928" t="e">
        <f t="shared" si="3"/>
        <v>#VALUE!</v>
      </c>
      <c r="BG50" s="1397" t="s">
        <v>724</v>
      </c>
      <c r="BH50" s="2930">
        <f t="shared" si="16"/>
        <v>19.444444444444443</v>
      </c>
      <c r="BI50" s="2930">
        <f t="shared" si="16"/>
        <v>23.333333333333336</v>
      </c>
      <c r="BJ50" s="1387">
        <v>67</v>
      </c>
      <c r="BK50" s="1387">
        <v>74</v>
      </c>
      <c r="BL50" s="2191"/>
    </row>
    <row r="51" spans="1:64" ht="15" customHeight="1">
      <c r="A51" s="3541"/>
      <c r="B51" s="2815" t="str">
        <f t="shared" si="38"/>
        <v xml:space="preserve">Flaked/Torrified barley </v>
      </c>
      <c r="C51" s="1167"/>
      <c r="D51" s="1167"/>
      <c r="E51" s="841" t="str">
        <f t="shared" si="23"/>
        <v>0g</v>
      </c>
      <c r="F51" s="1239">
        <f t="shared" si="17"/>
        <v>0</v>
      </c>
      <c r="G51" s="227">
        <f t="shared" si="18"/>
        <v>0</v>
      </c>
      <c r="H51" s="3531" t="s">
        <v>231</v>
      </c>
      <c r="I51" s="3532"/>
      <c r="J51" s="1454">
        <v>4.5</v>
      </c>
      <c r="K51" s="1455"/>
      <c r="L51" s="1456"/>
      <c r="M51" s="1457"/>
      <c r="N51" s="1458">
        <f t="shared" si="24"/>
        <v>0</v>
      </c>
      <c r="O51" s="1459">
        <f t="shared" si="24"/>
        <v>0</v>
      </c>
      <c r="P51" s="1460">
        <f t="shared" si="24"/>
        <v>0</v>
      </c>
      <c r="Q51" s="1277"/>
      <c r="R51" s="1278"/>
      <c r="S51" s="1279"/>
      <c r="T51" s="1255"/>
      <c r="U51" s="1453">
        <f t="shared" si="19"/>
        <v>0</v>
      </c>
      <c r="V51" s="540" t="s">
        <v>141</v>
      </c>
      <c r="W51" s="1630">
        <f t="shared" si="25"/>
        <v>0</v>
      </c>
      <c r="X51" s="1630">
        <f t="shared" si="26"/>
        <v>0</v>
      </c>
      <c r="Y51" s="1630">
        <f t="shared" si="27"/>
        <v>0</v>
      </c>
      <c r="Z51" s="1637">
        <f t="shared" si="33"/>
        <v>0</v>
      </c>
      <c r="AA51" s="1637">
        <f t="shared" si="28"/>
        <v>0</v>
      </c>
      <c r="AB51" s="1637">
        <f t="shared" si="29"/>
        <v>0</v>
      </c>
      <c r="AC51" s="1630">
        <f t="shared" si="30"/>
        <v>0</v>
      </c>
      <c r="AD51" s="1630">
        <f t="shared" si="31"/>
        <v>0</v>
      </c>
      <c r="AE51" s="1630">
        <f t="shared" si="32"/>
        <v>0</v>
      </c>
      <c r="AF51" s="1098"/>
      <c r="AG51" s="1441">
        <f t="shared" si="40"/>
        <v>195</v>
      </c>
      <c r="AH51" s="1442">
        <f t="shared" si="39"/>
        <v>0.62</v>
      </c>
      <c r="AI51" s="1441">
        <f t="shared" si="39"/>
        <v>2.13</v>
      </c>
      <c r="AJ51" s="1443">
        <f t="shared" si="20"/>
        <v>0</v>
      </c>
      <c r="AK51" s="1444">
        <f t="shared" si="21"/>
        <v>0</v>
      </c>
      <c r="AL51" s="1437">
        <f t="shared" si="22"/>
        <v>0</v>
      </c>
      <c r="AM51" s="1096"/>
      <c r="AN51" s="1255"/>
      <c r="AO51" s="3139">
        <f t="shared" ref="AO51:AO52" si="41">AQ51/28.3495</f>
        <v>0</v>
      </c>
      <c r="AP51" s="3139"/>
      <c r="AQ51" s="2368">
        <v>0</v>
      </c>
      <c r="AR51" s="3140">
        <f t="shared" si="36"/>
        <v>0</v>
      </c>
      <c r="AS51" s="3141"/>
      <c r="AT51" s="1255"/>
      <c r="AU51" s="1255"/>
      <c r="AV51" s="1255"/>
      <c r="AW51" s="1255"/>
      <c r="AX51" s="2307"/>
      <c r="AY51" s="46"/>
      <c r="AZ51" s="1645" t="s">
        <v>737</v>
      </c>
      <c r="BA51" s="1384" t="s">
        <v>673</v>
      </c>
      <c r="BB51" s="1385" t="s">
        <v>674</v>
      </c>
      <c r="BC51" s="1384" t="s">
        <v>724</v>
      </c>
      <c r="BD51" s="1396" t="s">
        <v>724</v>
      </c>
      <c r="BE51" s="1396" t="s">
        <v>724</v>
      </c>
      <c r="BF51" s="2928" t="e">
        <f t="shared" si="3"/>
        <v>#VALUE!</v>
      </c>
      <c r="BG51" s="1397" t="s">
        <v>724</v>
      </c>
      <c r="BH51" s="2930">
        <f t="shared" si="16"/>
        <v>19.444444444444443</v>
      </c>
      <c r="BI51" s="2930">
        <f t="shared" si="16"/>
        <v>23.333333333333336</v>
      </c>
      <c r="BJ51" s="1387">
        <v>67</v>
      </c>
      <c r="BK51" s="1387">
        <v>74</v>
      </c>
      <c r="BL51" s="2191"/>
    </row>
    <row r="52" spans="1:64" ht="15" customHeight="1">
      <c r="A52" s="3541"/>
      <c r="B52" s="2815" t="str">
        <f t="shared" si="38"/>
        <v>Oats</v>
      </c>
      <c r="C52" s="1167"/>
      <c r="D52" s="1167"/>
      <c r="E52" s="841" t="str">
        <f t="shared" si="23"/>
        <v>0g</v>
      </c>
      <c r="F52" s="1239">
        <f t="shared" si="17"/>
        <v>0</v>
      </c>
      <c r="G52" s="227">
        <f t="shared" si="18"/>
        <v>0</v>
      </c>
      <c r="H52" s="3531" t="s">
        <v>233</v>
      </c>
      <c r="I52" s="3532"/>
      <c r="J52" s="1454">
        <v>11.2</v>
      </c>
      <c r="K52" s="1455"/>
      <c r="L52" s="1456"/>
      <c r="M52" s="1457"/>
      <c r="N52" s="1458">
        <f t="shared" si="24"/>
        <v>0</v>
      </c>
      <c r="O52" s="1459">
        <f t="shared" si="24"/>
        <v>0</v>
      </c>
      <c r="P52" s="1460">
        <f t="shared" si="24"/>
        <v>0</v>
      </c>
      <c r="Q52" s="1277"/>
      <c r="R52" s="1278"/>
      <c r="S52" s="1279"/>
      <c r="T52" s="1255"/>
      <c r="U52" s="1453">
        <f t="shared" si="19"/>
        <v>0</v>
      </c>
      <c r="V52" s="540" t="s">
        <v>141</v>
      </c>
      <c r="W52" s="1630">
        <f t="shared" si="25"/>
        <v>0</v>
      </c>
      <c r="X52" s="1630">
        <f t="shared" si="26"/>
        <v>0</v>
      </c>
      <c r="Y52" s="1630">
        <f t="shared" si="27"/>
        <v>0</v>
      </c>
      <c r="Z52" s="1637">
        <f t="shared" si="33"/>
        <v>0</v>
      </c>
      <c r="AA52" s="1637">
        <f t="shared" si="28"/>
        <v>0</v>
      </c>
      <c r="AB52" s="1637">
        <f t="shared" si="29"/>
        <v>0</v>
      </c>
      <c r="AC52" s="1630">
        <f t="shared" si="30"/>
        <v>0</v>
      </c>
      <c r="AD52" s="1630">
        <f t="shared" si="31"/>
        <v>0</v>
      </c>
      <c r="AE52" s="1630">
        <f t="shared" si="32"/>
        <v>0</v>
      </c>
      <c r="AF52" s="1098"/>
      <c r="AG52" s="1441">
        <f t="shared" si="40"/>
        <v>183.75</v>
      </c>
      <c r="AH52" s="1442">
        <f t="shared" si="39"/>
        <v>0.62</v>
      </c>
      <c r="AI52" s="1441">
        <f t="shared" si="39"/>
        <v>1.0649999999999999</v>
      </c>
      <c r="AJ52" s="1443">
        <f t="shared" si="20"/>
        <v>0</v>
      </c>
      <c r="AK52" s="1444">
        <f t="shared" si="21"/>
        <v>0</v>
      </c>
      <c r="AL52" s="1437">
        <f t="shared" si="22"/>
        <v>0</v>
      </c>
      <c r="AM52" s="1096"/>
      <c r="AN52" s="1255"/>
      <c r="AO52" s="3139">
        <f t="shared" si="41"/>
        <v>0</v>
      </c>
      <c r="AP52" s="3139"/>
      <c r="AQ52" s="2368">
        <v>0</v>
      </c>
      <c r="AR52" s="3140">
        <f t="shared" si="36"/>
        <v>0</v>
      </c>
      <c r="AS52" s="3141"/>
      <c r="AT52" s="1255"/>
      <c r="AU52" s="1255"/>
      <c r="AV52" s="1255"/>
      <c r="AW52" s="1255"/>
      <c r="AX52" s="2307"/>
      <c r="AY52" s="46"/>
      <c r="AZ52" s="1645" t="s">
        <v>738</v>
      </c>
      <c r="BA52" s="1384" t="s">
        <v>690</v>
      </c>
      <c r="BB52" s="1385" t="s">
        <v>674</v>
      </c>
      <c r="BC52" s="1384" t="s">
        <v>675</v>
      </c>
      <c r="BD52" s="1396"/>
      <c r="BE52" s="1396"/>
      <c r="BF52" s="2928">
        <f t="shared" si="3"/>
        <v>0</v>
      </c>
      <c r="BG52" s="1397">
        <v>12</v>
      </c>
      <c r="BH52" s="2930">
        <f t="shared" si="16"/>
        <v>16.666666666666664</v>
      </c>
      <c r="BI52" s="2930">
        <f t="shared" si="16"/>
        <v>23.888888888888886</v>
      </c>
      <c r="BJ52" s="1387">
        <v>62</v>
      </c>
      <c r="BK52" s="1387">
        <v>75</v>
      </c>
      <c r="BL52" s="2191"/>
    </row>
    <row r="53" spans="1:64" ht="15" customHeight="1">
      <c r="A53" s="3533" t="s">
        <v>210</v>
      </c>
      <c r="B53" s="2815" t="str">
        <f>B$119</f>
        <v>Cane sugar</v>
      </c>
      <c r="C53" s="1167"/>
      <c r="D53" s="1167">
        <v>13</v>
      </c>
      <c r="E53" s="841" t="str">
        <f t="shared" si="23"/>
        <v>369g</v>
      </c>
      <c r="F53" s="1239">
        <f t="shared" si="17"/>
        <v>10.694698354661792</v>
      </c>
      <c r="G53" s="227">
        <f t="shared" si="18"/>
        <v>16.540375480660483</v>
      </c>
      <c r="H53" s="3531" t="s">
        <v>127</v>
      </c>
      <c r="I53" s="3532"/>
      <c r="J53" s="1454">
        <v>5</v>
      </c>
      <c r="K53" s="1455"/>
      <c r="L53" s="1456"/>
      <c r="M53" s="1457"/>
      <c r="N53" s="1458">
        <f t="shared" si="24"/>
        <v>0</v>
      </c>
      <c r="O53" s="1459">
        <f t="shared" si="24"/>
        <v>0</v>
      </c>
      <c r="P53" s="1460">
        <f t="shared" si="24"/>
        <v>0</v>
      </c>
      <c r="Q53" s="1277"/>
      <c r="R53" s="1278"/>
      <c r="S53" s="1279"/>
      <c r="T53" s="1255"/>
      <c r="U53" s="1453">
        <f t="shared" si="19"/>
        <v>368.55</v>
      </c>
      <c r="V53" s="540" t="s">
        <v>141</v>
      </c>
      <c r="W53" s="1630">
        <f t="shared" si="25"/>
        <v>0</v>
      </c>
      <c r="X53" s="1630">
        <f t="shared" si="26"/>
        <v>0</v>
      </c>
      <c r="Y53" s="1630">
        <f t="shared" si="27"/>
        <v>0</v>
      </c>
      <c r="Z53" s="1637">
        <f t="shared" si="33"/>
        <v>0</v>
      </c>
      <c r="AA53" s="1637">
        <f t="shared" si="28"/>
        <v>0</v>
      </c>
      <c r="AB53" s="1637">
        <f t="shared" si="29"/>
        <v>0</v>
      </c>
      <c r="AC53" s="1630">
        <f t="shared" si="30"/>
        <v>0</v>
      </c>
      <c r="AD53" s="1630">
        <f t="shared" si="31"/>
        <v>0</v>
      </c>
      <c r="AE53" s="1630">
        <f t="shared" si="32"/>
        <v>0</v>
      </c>
      <c r="AF53" s="1673" t="s">
        <v>10</v>
      </c>
      <c r="AG53" s="1107">
        <f t="shared" si="40"/>
        <v>375</v>
      </c>
      <c r="AH53" s="1108">
        <f t="shared" si="39"/>
        <v>1</v>
      </c>
      <c r="AI53" s="1441">
        <f t="shared" si="39"/>
        <v>0</v>
      </c>
      <c r="AJ53" s="1443">
        <f t="shared" si="20"/>
        <v>138.20625000000001</v>
      </c>
      <c r="AK53" s="1444">
        <f>AJ53*$AH53</f>
        <v>138.20625000000001</v>
      </c>
      <c r="AL53" s="1437">
        <f t="shared" si="22"/>
        <v>0</v>
      </c>
      <c r="AM53" s="1096"/>
      <c r="AN53" s="1255"/>
      <c r="AO53" s="3139">
        <f t="shared" ref="AO53" si="42">AQ53/28.3495</f>
        <v>0</v>
      </c>
      <c r="AP53" s="3139"/>
      <c r="AQ53" s="2368">
        <v>0</v>
      </c>
      <c r="AR53" s="3140">
        <f t="shared" si="36"/>
        <v>0</v>
      </c>
      <c r="AS53" s="3141"/>
      <c r="AT53" s="1255"/>
      <c r="AU53" s="1255"/>
      <c r="AV53" s="1255"/>
      <c r="AW53" s="1255"/>
      <c r="AX53" s="2307"/>
      <c r="AY53" s="46"/>
      <c r="AZ53" s="1698" t="s">
        <v>739</v>
      </c>
      <c r="BA53" s="1384" t="s">
        <v>673</v>
      </c>
      <c r="BB53" s="1385" t="s">
        <v>674</v>
      </c>
      <c r="BC53" s="1384" t="s">
        <v>724</v>
      </c>
      <c r="BD53" s="1396" t="s">
        <v>724</v>
      </c>
      <c r="BE53" s="1396" t="s">
        <v>724</v>
      </c>
      <c r="BF53" s="2928" t="e">
        <f t="shared" si="3"/>
        <v>#VALUE!</v>
      </c>
      <c r="BG53" s="1397" t="s">
        <v>724</v>
      </c>
      <c r="BH53" s="2930">
        <f t="shared" si="16"/>
        <v>20</v>
      </c>
      <c r="BI53" s="2930">
        <f t="shared" si="16"/>
        <v>22.222222222222221</v>
      </c>
      <c r="BJ53" s="1393">
        <v>68</v>
      </c>
      <c r="BK53" s="1394">
        <v>72</v>
      </c>
      <c r="BL53" s="2191"/>
    </row>
    <row r="54" spans="1:64" ht="15" customHeight="1">
      <c r="A54" s="3533"/>
      <c r="B54" s="2815" t="str">
        <f>B$120</f>
        <v>Brown sugar (light)</v>
      </c>
      <c r="C54" s="1167"/>
      <c r="D54" s="1167"/>
      <c r="E54" s="841" t="str">
        <f t="shared" si="23"/>
        <v>0g</v>
      </c>
      <c r="F54" s="1239">
        <f t="shared" si="17"/>
        <v>0</v>
      </c>
      <c r="G54" s="227">
        <f t="shared" si="18"/>
        <v>0</v>
      </c>
      <c r="H54" s="3531" t="s">
        <v>235</v>
      </c>
      <c r="I54" s="3532"/>
      <c r="J54" s="1454">
        <v>6.3</v>
      </c>
      <c r="K54" s="1455"/>
      <c r="L54" s="1456"/>
      <c r="M54" s="1457"/>
      <c r="N54" s="1458">
        <f t="shared" si="24"/>
        <v>0</v>
      </c>
      <c r="O54" s="1459">
        <f t="shared" si="24"/>
        <v>0</v>
      </c>
      <c r="P54" s="1460">
        <f t="shared" si="24"/>
        <v>0</v>
      </c>
      <c r="Q54" s="1277"/>
      <c r="R54" s="1278"/>
      <c r="S54" s="1279"/>
      <c r="T54" s="1255"/>
      <c r="U54" s="1453">
        <f t="shared" si="19"/>
        <v>0</v>
      </c>
      <c r="V54" s="540" t="s">
        <v>141</v>
      </c>
      <c r="W54" s="1630">
        <f t="shared" si="25"/>
        <v>0</v>
      </c>
      <c r="X54" s="1630">
        <f t="shared" si="26"/>
        <v>0</v>
      </c>
      <c r="Y54" s="1630">
        <f t="shared" si="27"/>
        <v>0</v>
      </c>
      <c r="Z54" s="1637">
        <f t="shared" si="33"/>
        <v>0</v>
      </c>
      <c r="AA54" s="1637">
        <f t="shared" si="28"/>
        <v>0</v>
      </c>
      <c r="AB54" s="1637">
        <f t="shared" si="29"/>
        <v>0</v>
      </c>
      <c r="AC54" s="1630">
        <f t="shared" si="30"/>
        <v>0</v>
      </c>
      <c r="AD54" s="1630">
        <f t="shared" si="31"/>
        <v>0</v>
      </c>
      <c r="AE54" s="1630">
        <f t="shared" si="32"/>
        <v>0</v>
      </c>
      <c r="AF54" s="1673" t="s">
        <v>10</v>
      </c>
      <c r="AG54" s="1107">
        <f t="shared" si="40"/>
        <v>370</v>
      </c>
      <c r="AH54" s="1108">
        <f t="shared" si="39"/>
        <v>1</v>
      </c>
      <c r="AI54" s="1441">
        <f t="shared" si="39"/>
        <v>16</v>
      </c>
      <c r="AJ54" s="1443">
        <f t="shared" si="20"/>
        <v>0</v>
      </c>
      <c r="AK54" s="1444">
        <f>AJ54*$AH54</f>
        <v>0</v>
      </c>
      <c r="AL54" s="1437">
        <f t="shared" si="22"/>
        <v>0</v>
      </c>
      <c r="AM54" s="1096"/>
      <c r="AN54" s="1255"/>
      <c r="AO54" s="1255"/>
      <c r="AP54" s="1255"/>
      <c r="AQ54" s="1255"/>
      <c r="AR54" s="1255"/>
      <c r="AS54" s="1255"/>
      <c r="AT54" s="1255"/>
      <c r="AU54" s="1255"/>
      <c r="AV54" s="1255"/>
      <c r="AW54" s="1255"/>
      <c r="AX54" s="2307"/>
      <c r="AY54" s="46"/>
      <c r="AZ54" s="1645" t="s">
        <v>740</v>
      </c>
      <c r="BA54" s="1384" t="s">
        <v>690</v>
      </c>
      <c r="BB54" s="1385" t="s">
        <v>674</v>
      </c>
      <c r="BC54" s="1384" t="s">
        <v>675</v>
      </c>
      <c r="BD54" s="1396"/>
      <c r="BE54" s="1396"/>
      <c r="BF54" s="2928">
        <f t="shared" si="3"/>
        <v>0</v>
      </c>
      <c r="BG54" s="1397">
        <v>12</v>
      </c>
      <c r="BH54" s="2930">
        <f t="shared" si="16"/>
        <v>21.111111111111114</v>
      </c>
      <c r="BI54" s="2930">
        <f t="shared" si="16"/>
        <v>26.111111111111114</v>
      </c>
      <c r="BJ54" s="1387">
        <v>70</v>
      </c>
      <c r="BK54" s="1387">
        <v>79</v>
      </c>
      <c r="BL54" s="2191"/>
    </row>
    <row r="55" spans="1:64" ht="15" customHeight="1">
      <c r="A55" s="3533"/>
      <c r="B55" s="2815" t="str">
        <f>B$121</f>
        <v>Invert sugar</v>
      </c>
      <c r="C55" s="1167"/>
      <c r="D55" s="1167"/>
      <c r="E55" s="841" t="str">
        <f t="shared" si="23"/>
        <v>0g</v>
      </c>
      <c r="F55" s="1239">
        <f t="shared" si="17"/>
        <v>0</v>
      </c>
      <c r="G55" s="1831">
        <f t="shared" si="18"/>
        <v>0</v>
      </c>
      <c r="H55" s="3531" t="s">
        <v>961</v>
      </c>
      <c r="I55" s="3532"/>
      <c r="J55" s="1454">
        <v>0</v>
      </c>
      <c r="K55" s="1455"/>
      <c r="L55" s="1456"/>
      <c r="M55" s="1457"/>
      <c r="N55" s="1458">
        <f t="shared" ref="N55:P57" si="43">K55</f>
        <v>0</v>
      </c>
      <c r="O55" s="1459">
        <f t="shared" si="43"/>
        <v>0</v>
      </c>
      <c r="P55" s="1460">
        <f t="shared" si="43"/>
        <v>0</v>
      </c>
      <c r="Q55" s="1277"/>
      <c r="R55" s="1278"/>
      <c r="S55" s="1279"/>
      <c r="T55" s="1255"/>
      <c r="U55" s="1453">
        <f>453.6*(C55+D55/16)</f>
        <v>0</v>
      </c>
      <c r="V55" s="540" t="s">
        <v>141</v>
      </c>
      <c r="W55" s="1630">
        <f t="shared" si="25"/>
        <v>0</v>
      </c>
      <c r="X55" s="1630">
        <f t="shared" si="26"/>
        <v>0</v>
      </c>
      <c r="Y55" s="1630">
        <f t="shared" si="27"/>
        <v>0</v>
      </c>
      <c r="Z55" s="1637">
        <f t="shared" si="33"/>
        <v>0</v>
      </c>
      <c r="AA55" s="1637">
        <f t="shared" si="28"/>
        <v>0</v>
      </c>
      <c r="AB55" s="1637">
        <f t="shared" si="29"/>
        <v>0</v>
      </c>
      <c r="AC55" s="1630">
        <f t="shared" si="30"/>
        <v>0</v>
      </c>
      <c r="AD55" s="1630">
        <f t="shared" si="31"/>
        <v>0</v>
      </c>
      <c r="AE55" s="1630">
        <f t="shared" si="32"/>
        <v>0</v>
      </c>
      <c r="AF55" s="1672"/>
      <c r="AG55" s="1441">
        <f t="shared" si="40"/>
        <v>319</v>
      </c>
      <c r="AH55" s="1442">
        <f t="shared" si="39"/>
        <v>0.85</v>
      </c>
      <c r="AI55" s="1441">
        <f t="shared" si="39"/>
        <v>0</v>
      </c>
      <c r="AJ55" s="1443">
        <f t="shared" si="20"/>
        <v>0</v>
      </c>
      <c r="AK55" s="1462">
        <f>AJ55*$AH55</f>
        <v>0</v>
      </c>
      <c r="AL55" s="1437">
        <f t="shared" si="22"/>
        <v>0</v>
      </c>
      <c r="AM55" s="1096"/>
      <c r="AN55" s="1255"/>
      <c r="AO55" s="1255"/>
      <c r="AP55" s="1255"/>
      <c r="AQ55" s="1255"/>
      <c r="AR55" s="1255"/>
      <c r="AS55" s="1255"/>
      <c r="AT55" s="1255"/>
      <c r="AU55" s="1255"/>
      <c r="AV55" s="1255"/>
      <c r="AW55" s="1255"/>
      <c r="AX55" s="2307"/>
      <c r="AY55" s="46"/>
      <c r="AZ55" s="1645" t="s">
        <v>742</v>
      </c>
      <c r="BA55" s="1384" t="s">
        <v>743</v>
      </c>
      <c r="BB55" s="1463" t="s">
        <v>744</v>
      </c>
      <c r="BC55" s="1384" t="s">
        <v>686</v>
      </c>
      <c r="BD55" s="1396"/>
      <c r="BE55" s="1396"/>
      <c r="BF55" s="2928">
        <f t="shared" si="3"/>
        <v>0</v>
      </c>
      <c r="BG55" s="1397" t="s">
        <v>684</v>
      </c>
      <c r="BH55" s="2930">
        <f t="shared" si="16"/>
        <v>7.2222222222222214</v>
      </c>
      <c r="BI55" s="2930">
        <f t="shared" si="16"/>
        <v>20</v>
      </c>
      <c r="BJ55" s="1387">
        <v>45</v>
      </c>
      <c r="BK55" s="1387">
        <v>68</v>
      </c>
      <c r="BL55" s="2191"/>
    </row>
    <row r="56" spans="1:64" ht="15" customHeight="1">
      <c r="A56" s="3533"/>
      <c r="B56" s="1702" t="s">
        <v>46</v>
      </c>
      <c r="C56" s="3535" t="str">
        <f>INT(0.85*(C55+D55/16))&amp;" lb "&amp;FIXED(16*((0.85*(C55+D55/16))-INT(0.85*(C55+D55/16))),1)&amp;" oz  OR  "&amp;FIXED(0.85*(C55+D55/16),3)&amp;" lb"</f>
        <v>0 lb 0.0 oz  OR  0.000 lb</v>
      </c>
      <c r="D56" s="3516"/>
      <c r="E56" s="3536"/>
      <c r="F56" s="1799"/>
      <c r="G56" s="1832"/>
      <c r="H56" s="3531" t="s">
        <v>237</v>
      </c>
      <c r="I56" s="3532"/>
      <c r="J56" s="1454">
        <v>0</v>
      </c>
      <c r="K56" s="1455"/>
      <c r="L56" s="1456"/>
      <c r="M56" s="1457"/>
      <c r="N56" s="1458">
        <f t="shared" si="43"/>
        <v>0</v>
      </c>
      <c r="O56" s="1459">
        <f t="shared" si="43"/>
        <v>0</v>
      </c>
      <c r="P56" s="1460">
        <f t="shared" si="43"/>
        <v>0</v>
      </c>
      <c r="Q56" s="1277"/>
      <c r="R56" s="1278"/>
      <c r="S56" s="1279"/>
      <c r="T56" s="1255"/>
      <c r="U56" s="85">
        <f>0.85*U55</f>
        <v>0</v>
      </c>
      <c r="V56" s="540" t="s">
        <v>141</v>
      </c>
      <c r="W56" s="1630">
        <f t="shared" si="25"/>
        <v>0</v>
      </c>
      <c r="X56" s="1630">
        <f t="shared" si="26"/>
        <v>0</v>
      </c>
      <c r="Y56" s="1630">
        <f t="shared" si="27"/>
        <v>0</v>
      </c>
      <c r="Z56" s="1637">
        <f t="shared" si="33"/>
        <v>0</v>
      </c>
      <c r="AA56" s="1637">
        <f t="shared" si="28"/>
        <v>0</v>
      </c>
      <c r="AB56" s="1637">
        <f t="shared" si="29"/>
        <v>0</v>
      </c>
      <c r="AC56" s="1630">
        <f t="shared" si="30"/>
        <v>0</v>
      </c>
      <c r="AD56" s="1630">
        <f t="shared" si="31"/>
        <v>0</v>
      </c>
      <c r="AE56" s="1630">
        <f t="shared" si="32"/>
        <v>0</v>
      </c>
      <c r="AF56" s="1672"/>
      <c r="AG56" s="1441"/>
      <c r="AH56" s="1442"/>
      <c r="AI56" s="1109"/>
      <c r="AJ56" s="1443"/>
      <c r="AK56" s="1444"/>
      <c r="AL56" s="1437">
        <f t="shared" si="22"/>
        <v>0</v>
      </c>
      <c r="AM56" s="1096"/>
      <c r="AN56" s="3279" t="s">
        <v>1627</v>
      </c>
      <c r="AO56" s="3279"/>
      <c r="AP56" s="3279"/>
      <c r="AQ56" s="3279"/>
      <c r="AR56" s="1531"/>
      <c r="AS56" s="1531"/>
      <c r="AT56" s="1051"/>
      <c r="AU56" s="1051"/>
      <c r="AV56" s="1051"/>
      <c r="AW56" s="1051"/>
      <c r="AX56" s="1255"/>
      <c r="AY56" s="46"/>
      <c r="AZ56" s="1645" t="s">
        <v>745</v>
      </c>
      <c r="BA56" s="1384" t="s">
        <v>743</v>
      </c>
      <c r="BB56" s="1463" t="s">
        <v>744</v>
      </c>
      <c r="BC56" s="1384" t="s">
        <v>670</v>
      </c>
      <c r="BD56" s="1396"/>
      <c r="BE56" s="1396"/>
      <c r="BF56" s="2928">
        <f t="shared" si="3"/>
        <v>0</v>
      </c>
      <c r="BG56" s="1397" t="s">
        <v>684</v>
      </c>
      <c r="BH56" s="2933">
        <f t="shared" si="16"/>
        <v>10</v>
      </c>
      <c r="BI56" s="2933">
        <f t="shared" si="16"/>
        <v>15</v>
      </c>
      <c r="BJ56" s="1417">
        <v>50</v>
      </c>
      <c r="BK56" s="1417">
        <v>59</v>
      </c>
      <c r="BL56" s="2191"/>
    </row>
    <row r="57" spans="1:64" ht="15" customHeight="1">
      <c r="A57" s="3534"/>
      <c r="B57" s="2308" t="s">
        <v>144</v>
      </c>
      <c r="C57" s="1825">
        <v>3.15</v>
      </c>
      <c r="D57" s="3269" t="str">
        <f>"g / litre = "&amp;1*FIXED(C57/D29)&amp;" level 5ml tsp"</f>
        <v>g / litre = 1 level 5ml tsp</v>
      </c>
      <c r="E57" s="3518"/>
      <c r="F57" s="1800">
        <f>100*IF(U57=0,0,U57*C24/$U$58)</f>
        <v>2.1023765996343693</v>
      </c>
      <c r="G57" s="1833">
        <f>IF(AJ57=0,0,AJ57*100/$U$59)</f>
        <v>3.2515268038905218</v>
      </c>
      <c r="H57" s="3537" t="s">
        <v>236</v>
      </c>
      <c r="I57" s="3538"/>
      <c r="J57" s="1454">
        <v>0</v>
      </c>
      <c r="K57" s="1464"/>
      <c r="L57" s="1465"/>
      <c r="M57" s="1466"/>
      <c r="N57" s="1467">
        <f t="shared" si="43"/>
        <v>0</v>
      </c>
      <c r="O57" s="1468">
        <f t="shared" si="43"/>
        <v>0</v>
      </c>
      <c r="P57" s="1469">
        <f t="shared" si="43"/>
        <v>0</v>
      </c>
      <c r="Q57" s="1277"/>
      <c r="R57" s="1278"/>
      <c r="S57" s="1279"/>
      <c r="T57" s="1255"/>
      <c r="U57" s="1798">
        <f>C57</f>
        <v>3.15</v>
      </c>
      <c r="V57" s="1098"/>
      <c r="W57" s="1630">
        <f t="shared" si="25"/>
        <v>0</v>
      </c>
      <c r="X57" s="1630">
        <f t="shared" si="26"/>
        <v>0</v>
      </c>
      <c r="Y57" s="1630">
        <f t="shared" si="27"/>
        <v>0</v>
      </c>
      <c r="Z57" s="1637">
        <f t="shared" si="33"/>
        <v>0</v>
      </c>
      <c r="AA57" s="1637">
        <f t="shared" si="28"/>
        <v>0</v>
      </c>
      <c r="AB57" s="1637">
        <f t="shared" si="29"/>
        <v>0</v>
      </c>
      <c r="AC57" s="1630">
        <f t="shared" si="30"/>
        <v>0</v>
      </c>
      <c r="AD57" s="1630">
        <f t="shared" si="31"/>
        <v>0</v>
      </c>
      <c r="AE57" s="1630">
        <f t="shared" si="32"/>
        <v>0</v>
      </c>
      <c r="AF57" s="1672"/>
      <c r="AG57" s="1110">
        <v>375</v>
      </c>
      <c r="AH57" s="1110">
        <v>1</v>
      </c>
      <c r="AI57" s="1110"/>
      <c r="AJ57" s="1443">
        <f>0.001*AG57*U57*C24</f>
        <v>27.168749999999999</v>
      </c>
      <c r="AK57" s="1444">
        <f>AJ57*$AH57</f>
        <v>27.168749999999999</v>
      </c>
      <c r="AL57" s="18"/>
      <c r="AM57" s="1096"/>
      <c r="AN57" s="2306" t="s">
        <v>1111</v>
      </c>
      <c r="AO57" s="3258" t="s">
        <v>1112</v>
      </c>
      <c r="AP57" s="3258"/>
      <c r="AQ57" s="3258"/>
      <c r="AR57" s="3258"/>
      <c r="AS57" s="3258"/>
      <c r="AT57" s="3258"/>
      <c r="AU57" s="3258"/>
      <c r="AV57" s="3258"/>
      <c r="AW57" s="3258"/>
      <c r="AX57" s="1098"/>
      <c r="AY57" s="46"/>
      <c r="AZ57" s="1645" t="s">
        <v>746</v>
      </c>
      <c r="BA57" s="1384" t="s">
        <v>690</v>
      </c>
      <c r="BB57" s="1385" t="s">
        <v>674</v>
      </c>
      <c r="BC57" s="1384" t="s">
        <v>675</v>
      </c>
      <c r="BD57" s="1386">
        <v>73</v>
      </c>
      <c r="BE57" s="1386">
        <v>75</v>
      </c>
      <c r="BF57" s="2928">
        <f t="shared" si="3"/>
        <v>74</v>
      </c>
      <c r="BG57" s="1397">
        <v>10</v>
      </c>
      <c r="BH57" s="2933">
        <f t="shared" si="16"/>
        <v>17.777777777777779</v>
      </c>
      <c r="BI57" s="2933">
        <f t="shared" si="16"/>
        <v>22.222222222222221</v>
      </c>
      <c r="BJ57" s="1417">
        <v>64</v>
      </c>
      <c r="BK57" s="1417">
        <v>72</v>
      </c>
      <c r="BL57" s="2191"/>
    </row>
    <row r="58" spans="1:64" ht="15" customHeight="1">
      <c r="A58" s="1423"/>
      <c r="B58" s="1470" t="s">
        <v>4</v>
      </c>
      <c r="C58" s="1876">
        <f>C57*0.0200448</f>
        <v>6.3141120000000009E-2</v>
      </c>
      <c r="D58" s="3269" t="s">
        <v>1558</v>
      </c>
      <c r="E58" s="3518"/>
      <c r="F58" s="1242" t="s">
        <v>248</v>
      </c>
      <c r="G58" s="1834" t="s">
        <v>248</v>
      </c>
      <c r="H58" s="3519" t="s">
        <v>795</v>
      </c>
      <c r="I58" s="3520"/>
      <c r="J58" s="3521"/>
      <c r="K58" s="2880">
        <v>0</v>
      </c>
      <c r="L58" s="3522" t="str">
        <f>" = "&amp;FIXED(K58/5)&amp;" tsp (5ml)."</f>
        <v xml:space="preserve"> = 0.00 tsp (5ml).</v>
      </c>
      <c r="M58" s="3523"/>
      <c r="N58" s="1471">
        <f>K58</f>
        <v>0</v>
      </c>
      <c r="O58" s="3522" t="str">
        <f>" = "&amp;FIXED(N58/5)&amp;" tsp (5ml."</f>
        <v xml:space="preserve"> = 0.00 tsp (5ml.</v>
      </c>
      <c r="P58" s="3523"/>
      <c r="Q58" s="1287">
        <f>K58</f>
        <v>0</v>
      </c>
      <c r="R58" s="3524" t="str">
        <f>"ml = "&amp;FIXED(Q58/5)&amp;" tsp (5ml)."</f>
        <v>ml = 0.00 tsp (5ml).</v>
      </c>
      <c r="S58" s="3524"/>
      <c r="T58" s="1255"/>
      <c r="U58" s="1472">
        <f>(SUM(U38:U55)+C24*U57)</f>
        <v>3446.1000000000004</v>
      </c>
      <c r="V58" s="1098"/>
      <c r="W58" s="1630"/>
      <c r="X58" s="1631"/>
      <c r="Y58" s="1630"/>
      <c r="Z58" s="1637"/>
      <c r="AA58" s="1638"/>
      <c r="AB58" s="1638"/>
      <c r="AC58" s="1632"/>
      <c r="AD58" s="1632"/>
      <c r="AE58" s="1632"/>
      <c r="AF58" s="1672"/>
      <c r="AG58" s="83" t="s">
        <v>193</v>
      </c>
      <c r="AH58" s="82">
        <f>C63/62</f>
        <v>1.2258064516129032</v>
      </c>
      <c r="AI58" s="83">
        <f>SUM(Q39:S57)</f>
        <v>2.17</v>
      </c>
      <c r="AJ58" s="1473" t="s">
        <v>193</v>
      </c>
      <c r="AK58" s="82">
        <f>C63/62</f>
        <v>1.2258064516129032</v>
      </c>
      <c r="AL58" s="83"/>
      <c r="AM58" s="1096"/>
      <c r="AN58" s="2307"/>
      <c r="AO58" s="3259" t="s">
        <v>1113</v>
      </c>
      <c r="AP58" s="3259"/>
      <c r="AQ58" s="3259"/>
      <c r="AR58" s="3259"/>
      <c r="AS58" s="3259"/>
      <c r="AT58" s="3259"/>
      <c r="AU58" s="3259"/>
      <c r="AV58" s="3259"/>
      <c r="AW58" s="3259"/>
      <c r="AX58" s="2307"/>
      <c r="AY58" s="46"/>
      <c r="AZ58" s="1645" t="s">
        <v>747</v>
      </c>
      <c r="BA58" s="1384" t="s">
        <v>690</v>
      </c>
      <c r="BB58" s="1385" t="s">
        <v>674</v>
      </c>
      <c r="BC58" s="1384" t="s">
        <v>670</v>
      </c>
      <c r="BD58" s="1386">
        <v>73</v>
      </c>
      <c r="BE58" s="1386">
        <v>76</v>
      </c>
      <c r="BF58" s="2928">
        <f t="shared" si="3"/>
        <v>74.5</v>
      </c>
      <c r="BG58" s="1397">
        <v>10</v>
      </c>
      <c r="BH58" s="2930">
        <f t="shared" si="16"/>
        <v>15.555555555555557</v>
      </c>
      <c r="BI58" s="2930">
        <f t="shared" si="16"/>
        <v>23.888888888888886</v>
      </c>
      <c r="BJ58" s="1387">
        <v>60</v>
      </c>
      <c r="BK58" s="1387">
        <v>75</v>
      </c>
      <c r="BL58" s="2191"/>
    </row>
    <row r="59" spans="1:64" ht="15" customHeight="1">
      <c r="A59" s="1423"/>
      <c r="B59" s="1504"/>
      <c r="C59" s="1876">
        <f>C57*0.0167</f>
        <v>5.2604999999999999E-2</v>
      </c>
      <c r="D59" s="3525" t="s">
        <v>1559</v>
      </c>
      <c r="E59" s="3526"/>
      <c r="F59" s="1241">
        <f>SUM(F38:F57)/100</f>
        <v>1.0000000000000002</v>
      </c>
      <c r="G59" s="1835">
        <f>SUM(G38:G57)/100</f>
        <v>1.0000000000000002</v>
      </c>
      <c r="H59" s="3527" t="s">
        <v>1547</v>
      </c>
      <c r="I59" s="3528"/>
      <c r="J59" s="3528"/>
      <c r="K59" s="3528"/>
      <c r="L59" s="3528"/>
      <c r="M59" s="3528"/>
      <c r="N59" s="3528"/>
      <c r="O59" s="3529" t="s">
        <v>1101</v>
      </c>
      <c r="P59" s="3529"/>
      <c r="Q59" s="3529"/>
      <c r="R59" s="3529"/>
      <c r="S59" s="3530"/>
      <c r="T59" s="1255"/>
      <c r="U59" s="87">
        <f>SUM(AJ38:AJ57)</f>
        <v>835.56900000000019</v>
      </c>
      <c r="V59" s="30"/>
      <c r="W59" s="1630"/>
      <c r="X59" s="1631"/>
      <c r="Y59" s="1632"/>
      <c r="Z59" s="1637"/>
      <c r="AA59" s="1638"/>
      <c r="AB59" s="1639"/>
      <c r="AC59" s="1632"/>
      <c r="AD59" s="1632"/>
      <c r="AE59" s="1632"/>
      <c r="AF59" s="1672"/>
      <c r="AG59" s="1111"/>
      <c r="AH59" s="1474"/>
      <c r="AI59" s="1474"/>
      <c r="AJ59" s="1475" t="s">
        <v>26</v>
      </c>
      <c r="AK59" s="1476">
        <f>SUM(AK38:AK52)/(C24)</f>
        <v>18.066099130434786</v>
      </c>
      <c r="AL59" s="1474"/>
      <c r="AM59" s="1096"/>
      <c r="AN59" s="2307"/>
      <c r="AO59" s="3027" t="s">
        <v>1626</v>
      </c>
      <c r="AP59" s="3027"/>
      <c r="AQ59" s="3027"/>
      <c r="AR59" s="3027"/>
      <c r="AS59" s="3027"/>
      <c r="AT59" s="3027"/>
      <c r="AU59" s="3027"/>
      <c r="AV59" s="3027"/>
      <c r="AW59" s="3027"/>
      <c r="AX59" s="3027"/>
      <c r="AY59" s="46"/>
      <c r="AZ59" s="1645" t="s">
        <v>748</v>
      </c>
      <c r="BA59" s="1384" t="s">
        <v>673</v>
      </c>
      <c r="BB59" s="1385" t="s">
        <v>674</v>
      </c>
      <c r="BC59" s="1384" t="s">
        <v>670</v>
      </c>
      <c r="BD59" s="1386">
        <v>67</v>
      </c>
      <c r="BE59" s="1386">
        <v>74</v>
      </c>
      <c r="BF59" s="2928">
        <f t="shared" si="3"/>
        <v>70.5</v>
      </c>
      <c r="BG59" s="1382" t="s">
        <v>676</v>
      </c>
      <c r="BH59" s="2933">
        <f t="shared" si="16"/>
        <v>18.333333333333336</v>
      </c>
      <c r="BI59" s="2933">
        <f t="shared" si="16"/>
        <v>21.111111111111114</v>
      </c>
      <c r="BJ59" s="1417">
        <v>65</v>
      </c>
      <c r="BK59" s="1417">
        <v>70</v>
      </c>
      <c r="BL59" s="2191"/>
    </row>
    <row r="60" spans="1:64" ht="16.5" customHeight="1">
      <c r="A60" s="1423"/>
      <c r="B60" s="1808" t="s">
        <v>1549</v>
      </c>
      <c r="C60" s="1838">
        <v>1500</v>
      </c>
      <c r="D60" s="3496" t="str">
        <f>"ml bottle. use "&amp;FIXED((C57*C60/1000),3)&amp;"g or "&amp;FIXED((C57*C60/(1000*(D29))),3)&amp;" level 5ml tsp."</f>
        <v>ml bottle. use 4.725g or 1.500 level 5ml tsp.</v>
      </c>
      <c r="E60" s="3496"/>
      <c r="F60" s="3496"/>
      <c r="G60" s="3497"/>
      <c r="H60" s="3498" t="s">
        <v>33</v>
      </c>
      <c r="I60" s="3499"/>
      <c r="J60" s="3500"/>
      <c r="K60" s="1603">
        <v>10.25</v>
      </c>
      <c r="L60" s="3501" t="s">
        <v>1629</v>
      </c>
      <c r="M60" s="3502"/>
      <c r="N60" s="1657">
        <v>12.25</v>
      </c>
      <c r="O60" s="3505" t="s">
        <v>1630</v>
      </c>
      <c r="P60" s="3506"/>
      <c r="Q60" s="1288">
        <v>3</v>
      </c>
      <c r="R60" s="3509" t="s">
        <v>1628</v>
      </c>
      <c r="S60" s="3510"/>
      <c r="T60" s="1962"/>
      <c r="U60" s="46"/>
      <c r="V60" s="46"/>
      <c r="W60" s="1630"/>
      <c r="X60" s="1631"/>
      <c r="Y60" s="1632"/>
      <c r="Z60" s="1637"/>
      <c r="AA60" s="1638"/>
      <c r="AB60" s="1639"/>
      <c r="AC60" s="1632"/>
      <c r="AD60" s="1632"/>
      <c r="AE60" s="1632">
        <f>SUM(Q39:S57)</f>
        <v>2.17</v>
      </c>
      <c r="AF60" s="1672" t="s">
        <v>1548</v>
      </c>
      <c r="AG60" s="2495"/>
      <c r="AH60" s="2495"/>
      <c r="AI60" s="2495"/>
      <c r="AJ60" s="1475" t="s">
        <v>27</v>
      </c>
      <c r="AK60" s="1674">
        <f>(1.07993715174291*(SUM(AK53:AK57)/C24))</f>
        <v>7.7649828899775537</v>
      </c>
      <c r="AL60" s="2495"/>
      <c r="AM60" s="1096"/>
      <c r="AN60" s="1051"/>
      <c r="AO60" s="1051"/>
      <c r="AP60" s="1051"/>
      <c r="AQ60" s="1051"/>
      <c r="AR60" s="1051"/>
      <c r="AS60" s="1051"/>
      <c r="AT60" s="1051"/>
      <c r="AU60" s="1051"/>
      <c r="AV60" s="1051"/>
      <c r="AW60" s="1051"/>
      <c r="AX60" s="1051"/>
      <c r="AY60" s="46"/>
      <c r="AZ60" s="1645" t="s">
        <v>749</v>
      </c>
      <c r="BA60" s="1384" t="s">
        <v>690</v>
      </c>
      <c r="BB60" s="1385" t="s">
        <v>674</v>
      </c>
      <c r="BC60" s="1384" t="s">
        <v>678</v>
      </c>
      <c r="BD60" s="1386">
        <v>74</v>
      </c>
      <c r="BE60" s="1386">
        <v>77</v>
      </c>
      <c r="BF60" s="2928">
        <f t="shared" si="3"/>
        <v>75.5</v>
      </c>
      <c r="BG60" s="1382" t="s">
        <v>688</v>
      </c>
      <c r="BH60" s="2930">
        <f t="shared" si="16"/>
        <v>15.555555555555557</v>
      </c>
      <c r="BI60" s="2930">
        <f t="shared" si="16"/>
        <v>23.888888888888886</v>
      </c>
      <c r="BJ60" s="1387">
        <v>60</v>
      </c>
      <c r="BK60" s="1387">
        <v>75</v>
      </c>
      <c r="BL60" s="2191"/>
    </row>
    <row r="61" spans="1:64" ht="17.25" customHeight="1">
      <c r="A61" s="1423"/>
      <c r="B61" s="1240" t="s">
        <v>1561</v>
      </c>
      <c r="C61" s="1839">
        <f>C57*$V$61+VLOOKUP($C$26,$U$64:$V$107,2)</f>
        <v>1.7022631578947367</v>
      </c>
      <c r="D61" s="3513" t="s">
        <v>1560</v>
      </c>
      <c r="E61" s="3514"/>
      <c r="F61" s="1098"/>
      <c r="G61" s="1877"/>
      <c r="H61" s="3515" t="s">
        <v>372</v>
      </c>
      <c r="I61" s="3516"/>
      <c r="J61" s="3517"/>
      <c r="K61" s="1990">
        <f>1000+SUM($AJ38:$AJ52)/$K60</f>
        <v>1065.3847804878048</v>
      </c>
      <c r="L61" s="3503"/>
      <c r="M61" s="3504"/>
      <c r="N61" s="1990">
        <f>1000+SUM($AJ38:$AJ55)/N60</f>
        <v>1065.991857142857</v>
      </c>
      <c r="O61" s="3507"/>
      <c r="P61" s="3508"/>
      <c r="Q61" s="1991">
        <v>1000</v>
      </c>
      <c r="R61" s="3511"/>
      <c r="S61" s="3512"/>
      <c r="T61" s="1962"/>
      <c r="U61" s="532" t="s">
        <v>193</v>
      </c>
      <c r="V61" s="1477">
        <f>89.6/342</f>
        <v>0.26198830409356721</v>
      </c>
      <c r="W61" s="1630"/>
      <c r="X61" s="1631"/>
      <c r="Y61" s="1632"/>
      <c r="Z61" s="1637"/>
      <c r="AA61" s="1638"/>
      <c r="AB61" s="1639"/>
      <c r="AC61" s="1632"/>
      <c r="AD61" s="1632"/>
      <c r="AE61" s="1632"/>
      <c r="AF61" s="1672"/>
      <c r="AG61" s="2495"/>
      <c r="AH61" s="2495"/>
      <c r="AI61" s="2495"/>
      <c r="AJ61" s="1475"/>
      <c r="AK61" s="1674"/>
      <c r="AL61" s="2495"/>
      <c r="AM61" s="1096"/>
      <c r="AN61" s="1723" t="s">
        <v>1050</v>
      </c>
      <c r="AO61" s="3479" t="s">
        <v>1051</v>
      </c>
      <c r="AP61" s="3480"/>
      <c r="AQ61" s="3481"/>
      <c r="AR61" s="3482" t="s">
        <v>1052</v>
      </c>
      <c r="AS61" s="3483"/>
      <c r="AT61" s="3484"/>
      <c r="AU61" s="3485" t="s">
        <v>325</v>
      </c>
      <c r="AV61" s="3486"/>
      <c r="AW61" s="3487"/>
      <c r="AX61" s="46"/>
      <c r="AY61" s="46"/>
      <c r="AZ61" s="1645" t="s">
        <v>750</v>
      </c>
      <c r="BA61" s="1384" t="s">
        <v>690</v>
      </c>
      <c r="BB61" s="1385" t="s">
        <v>674</v>
      </c>
      <c r="BC61" s="1384" t="s">
        <v>678</v>
      </c>
      <c r="BD61" s="1386">
        <v>71</v>
      </c>
      <c r="BE61" s="1386">
        <v>75</v>
      </c>
      <c r="BF61" s="2928">
        <f t="shared" si="3"/>
        <v>73</v>
      </c>
      <c r="BG61" s="1397">
        <v>9</v>
      </c>
      <c r="BH61" s="2930">
        <f t="shared" si="16"/>
        <v>17.777777777777779</v>
      </c>
      <c r="BI61" s="2930">
        <f t="shared" si="16"/>
        <v>22.777777777777779</v>
      </c>
      <c r="BJ61" s="1387">
        <v>64</v>
      </c>
      <c r="BK61" s="1387">
        <v>73</v>
      </c>
      <c r="BL61" s="2191"/>
    </row>
    <row r="62" spans="1:64" ht="15" customHeight="1">
      <c r="A62" s="1423"/>
      <c r="B62" s="3488" t="s">
        <v>1575</v>
      </c>
      <c r="C62" s="3489"/>
      <c r="D62" s="3489"/>
      <c r="E62" s="3490"/>
      <c r="F62" s="1098"/>
      <c r="G62" s="1877"/>
      <c r="H62" s="3491" t="s">
        <v>238</v>
      </c>
      <c r="I62" s="3492"/>
      <c r="J62" s="3493"/>
      <c r="K62" s="1992">
        <v>60</v>
      </c>
      <c r="L62" s="1993">
        <v>30</v>
      </c>
      <c r="M62" s="1994">
        <v>15</v>
      </c>
      <c r="N62" s="1995">
        <f>K62</f>
        <v>60</v>
      </c>
      <c r="O62" s="1996">
        <f>L62</f>
        <v>30</v>
      </c>
      <c r="P62" s="1996">
        <f>M62</f>
        <v>15</v>
      </c>
      <c r="Q62" s="1997">
        <f>K62</f>
        <v>60</v>
      </c>
      <c r="R62" s="1998">
        <f>O62</f>
        <v>30</v>
      </c>
      <c r="S62" s="1998">
        <f>P62</f>
        <v>15</v>
      </c>
      <c r="T62" s="1255"/>
      <c r="U62" s="1112" t="s">
        <v>173</v>
      </c>
      <c r="V62" s="1478" t="s">
        <v>195</v>
      </c>
      <c r="W62" s="1630"/>
      <c r="X62" s="1631"/>
      <c r="Y62" s="1632"/>
      <c r="Z62" s="1637"/>
      <c r="AA62" s="1638"/>
      <c r="AB62" s="1639"/>
      <c r="AC62" s="1632"/>
      <c r="AD62" s="1632"/>
      <c r="AE62" s="1632"/>
      <c r="AF62" s="1672"/>
      <c r="AG62" s="2495"/>
      <c r="AH62" s="2495"/>
      <c r="AI62" s="2495"/>
      <c r="AJ62" s="1475" t="s">
        <v>28</v>
      </c>
      <c r="AK62" s="1675">
        <f>(1.07993715174291*(SUM(AK53:AK55))/C24)</f>
        <v>6.4893071294812419</v>
      </c>
      <c r="AL62" s="2495"/>
      <c r="AM62" s="1096"/>
      <c r="AN62" s="1724" t="s">
        <v>1053</v>
      </c>
      <c r="AO62" s="1725">
        <v>12</v>
      </c>
      <c r="AP62" s="1726" t="s">
        <v>1054</v>
      </c>
      <c r="AQ62" s="1727">
        <v>30</v>
      </c>
      <c r="AR62" s="1728">
        <f>AO62</f>
        <v>12</v>
      </c>
      <c r="AS62" s="1726" t="s">
        <v>1054</v>
      </c>
      <c r="AT62" s="1729">
        <f>AQ62</f>
        <v>30</v>
      </c>
      <c r="AU62" s="1725">
        <f>AO62</f>
        <v>12</v>
      </c>
      <c r="AV62" s="1726" t="s">
        <v>1054</v>
      </c>
      <c r="AW62" s="1727">
        <f>AQ62</f>
        <v>30</v>
      </c>
      <c r="AX62" s="46"/>
      <c r="AY62" s="46"/>
      <c r="AZ62" s="1645" t="s">
        <v>751</v>
      </c>
      <c r="BA62" s="1384" t="s">
        <v>673</v>
      </c>
      <c r="BB62" s="1385" t="s">
        <v>674</v>
      </c>
      <c r="BC62" s="1384" t="s">
        <v>675</v>
      </c>
      <c r="BD62" s="1386">
        <v>65</v>
      </c>
      <c r="BE62" s="1386">
        <v>75</v>
      </c>
      <c r="BF62" s="2928">
        <f t="shared" si="3"/>
        <v>70</v>
      </c>
      <c r="BG62" s="1382" t="s">
        <v>676</v>
      </c>
      <c r="BH62" s="2930">
        <f t="shared" si="16"/>
        <v>10</v>
      </c>
      <c r="BI62" s="2930">
        <f t="shared" si="16"/>
        <v>15</v>
      </c>
      <c r="BJ62" s="1387">
        <v>50</v>
      </c>
      <c r="BK62" s="1387">
        <v>59</v>
      </c>
      <c r="BL62" s="2191"/>
    </row>
    <row r="63" spans="1:64" ht="15" customHeight="1">
      <c r="A63" s="1423"/>
      <c r="B63" s="1445" t="s">
        <v>136</v>
      </c>
      <c r="C63" s="1840">
        <v>76</v>
      </c>
      <c r="D63" s="3494" t="s">
        <v>36</v>
      </c>
      <c r="E63" s="3495"/>
      <c r="F63" s="1792"/>
      <c r="G63" s="1837"/>
      <c r="H63" s="3458" t="s">
        <v>239</v>
      </c>
      <c r="I63" s="3269"/>
      <c r="J63" s="3459"/>
      <c r="K63" s="1479">
        <f>K64*W64/($K60*10)</f>
        <v>53.504125079603007</v>
      </c>
      <c r="L63" s="1480">
        <f>L64*X64/($K60*10)</f>
        <v>0</v>
      </c>
      <c r="M63" s="1479">
        <f>M64*Y64/($K60*10)</f>
        <v>18.99500778744348</v>
      </c>
      <c r="N63" s="1481">
        <f t="shared" ref="N63:S63" si="44">N64*Z64/($N60*10)</f>
        <v>44.525168182596296</v>
      </c>
      <c r="O63" s="1479">
        <f t="shared" si="44"/>
        <v>0</v>
      </c>
      <c r="P63" s="1479">
        <f t="shared" si="44"/>
        <v>15.807302990327164</v>
      </c>
      <c r="Q63" s="1481">
        <f t="shared" si="44"/>
        <v>50.074381416459694</v>
      </c>
      <c r="R63" s="1479">
        <f t="shared" si="44"/>
        <v>0</v>
      </c>
      <c r="S63" s="1479">
        <f t="shared" si="44"/>
        <v>10.213949624519092</v>
      </c>
      <c r="T63" s="1255"/>
      <c r="U63" s="1482" t="s">
        <v>174</v>
      </c>
      <c r="V63" s="1568" t="s">
        <v>175</v>
      </c>
      <c r="W63" s="1630"/>
      <c r="X63" s="1631"/>
      <c r="Y63" s="1632"/>
      <c r="Z63" s="1637"/>
      <c r="AA63" s="1638"/>
      <c r="AB63" s="1639"/>
      <c r="AC63" s="1632"/>
      <c r="AD63" s="1632"/>
      <c r="AE63" s="1632"/>
      <c r="AF63" s="1672"/>
      <c r="AG63" s="1483"/>
      <c r="AH63" s="1676"/>
      <c r="AI63" s="1676"/>
      <c r="AJ63" s="1125" t="s">
        <v>373</v>
      </c>
      <c r="AK63" s="1125"/>
      <c r="AL63" s="1125"/>
      <c r="AM63" s="1096"/>
      <c r="AN63" s="1732" t="s">
        <v>1055</v>
      </c>
      <c r="AO63" s="1733">
        <f>INT(AF70/60)</f>
        <v>12</v>
      </c>
      <c r="AP63" s="1734" t="s">
        <v>1054</v>
      </c>
      <c r="AQ63" s="1735">
        <f>60*(MOD(AF70/60,60)-AO63)</f>
        <v>15</v>
      </c>
      <c r="AR63" s="1733">
        <f>INT(AI70/60)</f>
        <v>12</v>
      </c>
      <c r="AS63" s="1734" t="s">
        <v>1054</v>
      </c>
      <c r="AT63" s="1735">
        <f>60*(MOD(AI70/60,60)-AR63)</f>
        <v>15</v>
      </c>
      <c r="AU63" s="1733">
        <f>INT(AL70/60)</f>
        <v>12</v>
      </c>
      <c r="AV63" s="1734" t="s">
        <v>1054</v>
      </c>
      <c r="AW63" s="1735">
        <f>60*(MOD(AL70/60,60)-AU63)</f>
        <v>15</v>
      </c>
      <c r="AX63" s="46"/>
      <c r="AY63" s="46"/>
      <c r="AZ63" s="1645" t="s">
        <v>752</v>
      </c>
      <c r="BA63" s="1384" t="s">
        <v>673</v>
      </c>
      <c r="BB63" s="1385" t="s">
        <v>674</v>
      </c>
      <c r="BC63" s="1384" t="s">
        <v>678</v>
      </c>
      <c r="BD63" s="1386">
        <v>70</v>
      </c>
      <c r="BE63" s="1386">
        <v>75</v>
      </c>
      <c r="BF63" s="2928">
        <f t="shared" si="3"/>
        <v>72.5</v>
      </c>
      <c r="BG63" s="1382" t="s">
        <v>688</v>
      </c>
      <c r="BH63" s="2930">
        <f t="shared" si="16"/>
        <v>17.777777777777779</v>
      </c>
      <c r="BI63" s="2930">
        <f t="shared" si="16"/>
        <v>22.222222222222221</v>
      </c>
      <c r="BJ63" s="1387">
        <v>64</v>
      </c>
      <c r="BK63" s="1387">
        <v>72</v>
      </c>
      <c r="BL63" s="2191"/>
    </row>
    <row r="64" spans="1:64" ht="15" customHeight="1">
      <c r="A64" s="1423"/>
      <c r="B64" s="1791" t="s">
        <v>246</v>
      </c>
      <c r="C64" s="1841" t="s">
        <v>247</v>
      </c>
      <c r="D64" s="2802"/>
      <c r="E64" s="2936" t="s">
        <v>1822</v>
      </c>
      <c r="F64" s="1806"/>
      <c r="G64" s="1807"/>
      <c r="H64" s="3456" t="s">
        <v>241</v>
      </c>
      <c r="I64" s="3421"/>
      <c r="J64" s="3457"/>
      <c r="K64" s="1967">
        <f>165*POWER(0.000125,0.001*($K61-1000))*(1-EXP(-$D215*$K62))/$D216</f>
        <v>20.087772523984636</v>
      </c>
      <c r="L64" s="1541">
        <f>165*POWER(0.000125,0.001*($K61-1000))*(1-EXP(-$D215*$L62))/$D216</f>
        <v>15.437951029972806</v>
      </c>
      <c r="M64" s="1540">
        <f>165*POWER(0.000125,0.001*($K61-1000))*(1-EXP(-$D215*$M62))/$D216</f>
        <v>9.9676104377069574</v>
      </c>
      <c r="N64" s="1966">
        <f>165*POWER(0.000125,0.001*($N61-1000))*(1-EXP(-$D215*$Q62))/$D216</f>
        <v>19.9784737303805</v>
      </c>
      <c r="O64" s="1540">
        <f>165*POWER(0.000125,0.001*($N61-1000))*(1-EXP(-$D215*$O62))/$D216</f>
        <v>15.353952198281483</v>
      </c>
      <c r="P64" s="1540">
        <f>165*POWER(0.000125,0.001*($N61-1000))*(1-EXP(-$D215*$P62))/$D216</f>
        <v>9.9133760623098564</v>
      </c>
      <c r="Q64" s="1968">
        <f>165*POWER(0.000125,0.001*($Q61-1000))*(1-EXP(-$D215*$Q62))/$D216</f>
        <v>36.152177760782394</v>
      </c>
      <c r="R64" s="1540">
        <f>165*POWER(0.000125,0.001*($Q61-1000))*(1-EXP(-$D215*$R62))/$D216</f>
        <v>27.783844586623285</v>
      </c>
      <c r="S64" s="1540">
        <f>165*POWER(0.000125,0.001*($N61-1000))*(1-EXP(-$D215*$P62))/$D216</f>
        <v>9.9133760623098564</v>
      </c>
      <c r="T64" s="1255"/>
      <c r="U64" s="2709">
        <v>0</v>
      </c>
      <c r="V64" s="2711">
        <v>1.7130000000000001</v>
      </c>
      <c r="W64" s="1633">
        <f>SUM(W39:W57)*28.35</f>
        <v>273.01050000000004</v>
      </c>
      <c r="X64" s="1634">
        <f t="shared" ref="X64:AE64" si="45">SUM(X39:X57)*28.35</f>
        <v>0</v>
      </c>
      <c r="Y64" s="1634">
        <f t="shared" si="45"/>
        <v>195.33150000000001</v>
      </c>
      <c r="Z64" s="1640">
        <f t="shared" si="45"/>
        <v>273.01050000000004</v>
      </c>
      <c r="AA64" s="1640">
        <f t="shared" si="45"/>
        <v>0</v>
      </c>
      <c r="AB64" s="1640">
        <f t="shared" si="45"/>
        <v>195.33150000000001</v>
      </c>
      <c r="AC64" s="1633">
        <f t="shared" si="45"/>
        <v>169.67475000000002</v>
      </c>
      <c r="AD64" s="1634">
        <f t="shared" si="45"/>
        <v>0</v>
      </c>
      <c r="AE64" s="1634">
        <f t="shared" si="45"/>
        <v>126.21420000000001</v>
      </c>
      <c r="AF64" s="1672"/>
      <c r="AG64" s="14" t="s">
        <v>253</v>
      </c>
      <c r="AH64" s="1676"/>
      <c r="AI64" s="2523"/>
      <c r="AJ64" s="2523" t="s">
        <v>49</v>
      </c>
      <c r="AK64" s="79">
        <f>(C57*0.375*C24+SUM(AJ38:AJ55))/C24</f>
        <v>36.329086956521749</v>
      </c>
      <c r="AL64" s="14" t="s">
        <v>250</v>
      </c>
      <c r="AM64" s="1096"/>
      <c r="AN64" s="1736" t="s">
        <v>1056</v>
      </c>
      <c r="AO64" s="1733">
        <f>INT(AF71/60)</f>
        <v>12</v>
      </c>
      <c r="AP64" s="1734" t="s">
        <v>1054</v>
      </c>
      <c r="AQ64" s="1735">
        <f>60*(MOD(AF71/60,60)-AO64)</f>
        <v>30</v>
      </c>
      <c r="AR64" s="1733">
        <f>INT(AI71/60)</f>
        <v>12</v>
      </c>
      <c r="AS64" s="1734" t="s">
        <v>1054</v>
      </c>
      <c r="AT64" s="1735">
        <f>60*(MOD(AI71/60,60)-AR64)</f>
        <v>30</v>
      </c>
      <c r="AU64" s="1733">
        <f>INT(AL71/60)</f>
        <v>12</v>
      </c>
      <c r="AV64" s="1734" t="s">
        <v>1054</v>
      </c>
      <c r="AW64" s="1735">
        <f>60*(MOD(AL71/60,60)-AU64)</f>
        <v>30</v>
      </c>
      <c r="AX64" s="46"/>
      <c r="AY64" s="46"/>
      <c r="AZ64" s="1645" t="s">
        <v>753</v>
      </c>
      <c r="BA64" s="1384" t="s">
        <v>673</v>
      </c>
      <c r="BB64" s="1385" t="s">
        <v>674</v>
      </c>
      <c r="BC64" s="1384" t="s">
        <v>675</v>
      </c>
      <c r="BD64" s="1386">
        <v>73</v>
      </c>
      <c r="BE64" s="1386">
        <v>80</v>
      </c>
      <c r="BF64" s="2928">
        <f t="shared" si="3"/>
        <v>76.5</v>
      </c>
      <c r="BG64" s="1382" t="s">
        <v>679</v>
      </c>
      <c r="BH64" s="2930">
        <f t="shared" si="16"/>
        <v>17.222222222222221</v>
      </c>
      <c r="BI64" s="2930">
        <f t="shared" si="16"/>
        <v>23.888888888888886</v>
      </c>
      <c r="BJ64" s="1387">
        <v>63</v>
      </c>
      <c r="BK64" s="1387">
        <v>75</v>
      </c>
      <c r="BL64" s="2191"/>
    </row>
    <row r="65" spans="1:64" ht="15" customHeight="1">
      <c r="A65" s="1423"/>
      <c r="B65" s="2801" t="s">
        <v>1759</v>
      </c>
      <c r="C65" s="2797" t="str">
        <f>FIXED((100*(1-(AK66/AK65))),1)&amp;"%"</f>
        <v>81.5%</v>
      </c>
      <c r="D65" s="3477" t="s">
        <v>1758</v>
      </c>
      <c r="E65" s="3478"/>
      <c r="F65" s="2958" t="str">
        <f>FIXED(100*(1-(((0.1808*AK65)+(0.8192*AK66))/AK65)),1)&amp;"%"</f>
        <v>66.7%</v>
      </c>
      <c r="H65" s="3458" t="s">
        <v>243</v>
      </c>
      <c r="I65" s="3269"/>
      <c r="J65" s="3459"/>
      <c r="K65" s="1592">
        <f>K63*$K60/$C24</f>
        <v>23.844229655040472</v>
      </c>
      <c r="L65" s="1593">
        <f>L63*$K60/$C24</f>
        <v>0</v>
      </c>
      <c r="M65" s="1592">
        <f>M63*$K60/$C24</f>
        <v>8.4651665139693772</v>
      </c>
      <c r="N65" s="1594">
        <f t="shared" ref="N65:S65" si="46">N63*$N60/$C24</f>
        <v>23.714491749426287</v>
      </c>
      <c r="O65" s="1592">
        <f t="shared" si="46"/>
        <v>0</v>
      </c>
      <c r="P65" s="1592">
        <f t="shared" si="46"/>
        <v>8.4191070274568602</v>
      </c>
      <c r="Q65" s="1594">
        <f t="shared" si="46"/>
        <v>26.670050971810056</v>
      </c>
      <c r="R65" s="1592">
        <f t="shared" si="46"/>
        <v>0</v>
      </c>
      <c r="S65" s="1592">
        <f t="shared" si="46"/>
        <v>5.4400383869721249</v>
      </c>
      <c r="T65" s="1255"/>
      <c r="U65" s="2709">
        <v>1</v>
      </c>
      <c r="V65" s="2711">
        <v>1.6459999999999999</v>
      </c>
      <c r="W65" s="46"/>
      <c r="X65" s="46"/>
      <c r="Y65" s="46"/>
      <c r="Z65" s="46"/>
      <c r="AA65" s="46"/>
      <c r="AB65" s="46"/>
      <c r="AC65" s="46"/>
      <c r="AD65" s="46"/>
      <c r="AE65" s="46"/>
      <c r="AF65" s="1672"/>
      <c r="AG65" s="14" t="s">
        <v>251</v>
      </c>
      <c r="AH65" s="1677"/>
      <c r="AI65" s="1484"/>
      <c r="AJ65" s="1484" t="s">
        <v>47</v>
      </c>
      <c r="AK65" s="1678">
        <f>SUM(AJ38:AJ55)/C24</f>
        <v>35.147836956521743</v>
      </c>
      <c r="AL65" s="14" t="s">
        <v>250</v>
      </c>
      <c r="AM65" s="1096"/>
      <c r="AN65" s="1737" t="s">
        <v>1057</v>
      </c>
      <c r="AO65" s="1738">
        <f>INT(AF72/60)</f>
        <v>12</v>
      </c>
      <c r="AP65" s="1739" t="s">
        <v>1054</v>
      </c>
      <c r="AQ65" s="1740">
        <f>60*(MOD(AF72/60,60)-AO65)</f>
        <v>45</v>
      </c>
      <c r="AR65" s="1738">
        <f>INT(AI72/60)</f>
        <v>12</v>
      </c>
      <c r="AS65" s="1739" t="s">
        <v>1054</v>
      </c>
      <c r="AT65" s="1740">
        <f>60*(MOD(AI72/60,60)-AR65)</f>
        <v>45</v>
      </c>
      <c r="AU65" s="1738">
        <f>INT(AL72/60)</f>
        <v>12</v>
      </c>
      <c r="AV65" s="1739" t="s">
        <v>1054</v>
      </c>
      <c r="AW65" s="1740">
        <f>60*(MOD(AL72/60,60)-AU65)</f>
        <v>45</v>
      </c>
      <c r="AX65" s="46"/>
      <c r="AY65" s="46"/>
      <c r="AZ65" s="1645" t="s">
        <v>754</v>
      </c>
      <c r="BA65" s="1384" t="s">
        <v>690</v>
      </c>
      <c r="BB65" s="1385" t="s">
        <v>674</v>
      </c>
      <c r="BC65" s="1384" t="s">
        <v>670</v>
      </c>
      <c r="BD65" s="1386">
        <v>67</v>
      </c>
      <c r="BE65" s="1386">
        <v>71</v>
      </c>
      <c r="BF65" s="2928">
        <f t="shared" si="3"/>
        <v>69</v>
      </c>
      <c r="BG65" s="1397">
        <v>9</v>
      </c>
      <c r="BH65" s="2930">
        <f t="shared" si="16"/>
        <v>18.333333333333336</v>
      </c>
      <c r="BI65" s="2930">
        <f t="shared" si="16"/>
        <v>21.111111111111114</v>
      </c>
      <c r="BJ65" s="1387">
        <v>65</v>
      </c>
      <c r="BK65" s="1387">
        <v>70</v>
      </c>
      <c r="BL65" s="2191"/>
    </row>
    <row r="66" spans="1:64" ht="15" customHeight="1">
      <c r="A66" s="2955"/>
      <c r="B66" s="3474" t="s">
        <v>1506</v>
      </c>
      <c r="C66" s="3475"/>
      <c r="D66" s="3475"/>
      <c r="E66" s="3475"/>
      <c r="F66" s="3475"/>
      <c r="G66" s="3476"/>
      <c r="H66" s="3460" t="s">
        <v>124</v>
      </c>
      <c r="I66" s="3461"/>
      <c r="J66" s="3462"/>
      <c r="K66" s="1608" t="s">
        <v>244</v>
      </c>
      <c r="L66" s="1602">
        <f>(K65+L65+M65+(K58*N216*Q216/(J216*C24)))</f>
        <v>32.309396169009851</v>
      </c>
      <c r="M66" s="1601" t="s">
        <v>216</v>
      </c>
      <c r="N66" s="1654" t="s">
        <v>244</v>
      </c>
      <c r="O66" s="1655">
        <f>N65+O65+P65+(N58*N216*Q216/(J216*C24))</f>
        <v>32.133598776883147</v>
      </c>
      <c r="P66" s="1658" t="s">
        <v>216</v>
      </c>
      <c r="Q66" s="1656" t="s">
        <v>244</v>
      </c>
      <c r="R66" s="1604">
        <f>(Q65+R65+S65+(Q58*N216*R216/(J216*C24)))</f>
        <v>32.110089358782183</v>
      </c>
      <c r="S66" s="1605" t="s">
        <v>216</v>
      </c>
      <c r="T66" s="1255"/>
      <c r="U66" s="2709">
        <v>2</v>
      </c>
      <c r="V66" s="2712">
        <v>1.5840000000000001</v>
      </c>
      <c r="W66" s="1098"/>
      <c r="X66" s="1098"/>
      <c r="Y66" s="1098"/>
      <c r="Z66" s="1098"/>
      <c r="AA66" s="1098"/>
      <c r="AB66" s="1098"/>
      <c r="AC66" s="1098"/>
      <c r="AD66" s="1098"/>
      <c r="AE66" s="1098"/>
      <c r="AF66" s="1098"/>
      <c r="AG66" s="14" t="s">
        <v>251</v>
      </c>
      <c r="AH66" s="2618"/>
      <c r="AI66" s="1485"/>
      <c r="AJ66" s="1484" t="s">
        <v>48</v>
      </c>
      <c r="AK66" s="1486">
        <f>(AK64-(0.375*C57*C24)/C24-AK58*AK59-AK62)</f>
        <v>6.5129889574752884</v>
      </c>
      <c r="AL66" s="14" t="s">
        <v>252</v>
      </c>
      <c r="AM66" s="1096"/>
      <c r="AN66" s="1737" t="s">
        <v>1058</v>
      </c>
      <c r="AO66" s="3463" t="str">
        <f>K62&amp;" mins"</f>
        <v>60 mins</v>
      </c>
      <c r="AP66" s="3464"/>
      <c r="AQ66" s="3465"/>
      <c r="AR66" s="3450" t="str">
        <f>N62&amp;" mins"</f>
        <v>60 mins</v>
      </c>
      <c r="AS66" s="3451"/>
      <c r="AT66" s="3452"/>
      <c r="AU66" s="3450" t="str">
        <f>Q62&amp;" mins"</f>
        <v>60 mins</v>
      </c>
      <c r="AV66" s="3451"/>
      <c r="AW66" s="3452"/>
      <c r="AX66" s="46"/>
      <c r="AY66" s="46"/>
      <c r="AZ66" s="1698" t="s">
        <v>755</v>
      </c>
      <c r="BA66" s="1384" t="s">
        <v>690</v>
      </c>
      <c r="BB66" s="1385" t="s">
        <v>674</v>
      </c>
      <c r="BC66" s="1384" t="s">
        <v>675</v>
      </c>
      <c r="BD66" s="1386">
        <v>75</v>
      </c>
      <c r="BE66" s="1386">
        <v>79</v>
      </c>
      <c r="BF66" s="2928">
        <f t="shared" si="3"/>
        <v>77</v>
      </c>
      <c r="BG66" s="1397">
        <v>12</v>
      </c>
      <c r="BH66" s="2930">
        <f t="shared" ref="BH66:BI66" si="47">((BJ66+40)*5/9)-40</f>
        <v>17.222222222222221</v>
      </c>
      <c r="BI66" s="2930">
        <f t="shared" si="47"/>
        <v>25</v>
      </c>
      <c r="BJ66" s="1387">
        <v>63</v>
      </c>
      <c r="BK66" s="1387">
        <v>77</v>
      </c>
      <c r="BL66" s="2191"/>
    </row>
    <row r="67" spans="1:64" ht="15" customHeight="1">
      <c r="A67" s="2955"/>
      <c r="B67" s="3246" t="str">
        <f>"Total ingredient wt = "&amp;1*FIXED((Y73),0)&amp;"g, sugar wt  = "&amp;1*FIXED((Y72*Z72),0)&amp;"g  = approx, "&amp;FIXED((100*AA72/AA73),0)&amp;"% by weight if using all malt."</f>
        <v>Total ingredient wt = 3446g, sugar wt  = 441g  = approx, 13% by weight if using all malt.</v>
      </c>
      <c r="C67" s="3247"/>
      <c r="D67" s="3247"/>
      <c r="E67" s="3247"/>
      <c r="F67" s="3247"/>
      <c r="G67" s="3248"/>
      <c r="H67" s="2798"/>
      <c r="I67" s="2798"/>
      <c r="J67" s="2798"/>
      <c r="K67" s="2798"/>
      <c r="L67" s="2798"/>
      <c r="M67" s="2798"/>
      <c r="N67" s="2798"/>
      <c r="O67" s="2793"/>
      <c r="P67" s="2794"/>
      <c r="Q67" s="3207" t="str">
        <f>"Suggested min. boil vol. for Method 2 is "&amp;FIXED(AE60/0.1111/13,1)&amp;" litres ("&amp;Q60&amp;" used) &amp; a min. sieve / colander capacity of "&amp;FIXED(0.1+(AE60/0.1111)/17,1)&amp;" litres."</f>
        <v>Suggested min. boil vol. for Method 2 is 1.5 litres (3 used) &amp; a min. sieve / colander capacity of 1.2 litres.</v>
      </c>
      <c r="R67" s="3466"/>
      <c r="S67" s="3467"/>
      <c r="T67" s="1255"/>
      <c r="U67" s="2709">
        <v>3</v>
      </c>
      <c r="V67" s="2712">
        <v>1.53</v>
      </c>
      <c r="W67" s="1098"/>
      <c r="X67" s="1098"/>
      <c r="Y67" s="1098"/>
      <c r="Z67" s="1098"/>
      <c r="AA67" s="1098"/>
      <c r="AB67" s="1098"/>
      <c r="AC67" s="1098"/>
      <c r="AD67" s="1098"/>
      <c r="AE67" s="1098"/>
      <c r="AF67" s="1098"/>
      <c r="AG67" s="14" t="s">
        <v>253</v>
      </c>
      <c r="AH67" s="2618"/>
      <c r="AI67" s="30"/>
      <c r="AJ67" s="2954" t="s">
        <v>50</v>
      </c>
      <c r="AK67" s="1678">
        <f>(AK64-AK58*AK59-AK60)</f>
        <v>6.4185631969789751</v>
      </c>
      <c r="AL67" s="14" t="s">
        <v>252</v>
      </c>
      <c r="AM67" s="1096"/>
      <c r="AN67" s="1741" t="s">
        <v>1146</v>
      </c>
      <c r="AO67" s="1742"/>
      <c r="AP67" s="2795"/>
      <c r="AQ67" s="2795"/>
      <c r="AR67" s="2796"/>
      <c r="AS67" s="2796"/>
      <c r="AT67" s="2796"/>
      <c r="AU67" s="2796"/>
      <c r="AV67" s="2796"/>
      <c r="AW67" s="2796"/>
      <c r="AX67" s="46"/>
      <c r="AY67" s="46"/>
      <c r="AZ67" s="1645" t="s">
        <v>756</v>
      </c>
      <c r="BA67" s="1384" t="s">
        <v>757</v>
      </c>
      <c r="BB67" s="1463" t="s">
        <v>744</v>
      </c>
      <c r="BC67" s="1384" t="s">
        <v>670</v>
      </c>
      <c r="BD67" s="1396"/>
      <c r="BE67" s="1396"/>
      <c r="BF67" s="2928">
        <f>(BE67+BD67)/2</f>
        <v>0</v>
      </c>
      <c r="BG67" s="1397" t="s">
        <v>684</v>
      </c>
      <c r="BH67" s="2930">
        <f t="shared" ref="BH67:BH98" si="48">((BJ67+40)*5/9)-40</f>
        <v>8.8888888888888857</v>
      </c>
      <c r="BI67" s="2930">
        <f t="shared" ref="BI67:BI98" si="49">((BK67+40)*5/9)-40</f>
        <v>13.333333333333336</v>
      </c>
      <c r="BJ67" s="1387">
        <v>48</v>
      </c>
      <c r="BK67" s="1387">
        <v>56</v>
      </c>
      <c r="BL67" s="2191"/>
    </row>
    <row r="68" spans="1:64" ht="15" customHeight="1">
      <c r="A68" s="2955"/>
      <c r="B68" s="1254"/>
      <c r="C68" s="1420"/>
      <c r="D68" s="1254"/>
      <c r="E68" s="1254"/>
      <c r="F68" s="1254"/>
      <c r="G68" s="1254"/>
      <c r="H68" s="1779"/>
      <c r="I68" s="1779"/>
      <c r="J68" s="1779"/>
      <c r="K68" s="1779"/>
      <c r="L68" s="1779"/>
      <c r="M68" s="1779"/>
      <c r="N68" s="1779"/>
      <c r="O68" s="1779"/>
      <c r="P68" s="197"/>
      <c r="Q68" s="3468"/>
      <c r="R68" s="3469"/>
      <c r="S68" s="3470"/>
      <c r="T68" s="1255"/>
      <c r="U68" s="2709">
        <v>4</v>
      </c>
      <c r="V68" s="2712">
        <v>1.4730000000000001</v>
      </c>
      <c r="W68" s="1098"/>
      <c r="X68" s="1377" t="s">
        <v>1594</v>
      </c>
      <c r="Y68" s="1980">
        <f>SUM(U38:U40)</f>
        <v>2721.6000000000004</v>
      </c>
      <c r="Z68" s="1377">
        <v>1</v>
      </c>
      <c r="AA68" s="1377">
        <f>U38*Z68</f>
        <v>2721.6000000000004</v>
      </c>
      <c r="AB68" s="1098"/>
      <c r="AC68" s="1098"/>
      <c r="AD68" s="1098"/>
      <c r="AE68" s="1098"/>
      <c r="AF68" s="1098"/>
      <c r="AG68" s="14"/>
      <c r="AH68" s="2618"/>
      <c r="AI68" s="30"/>
      <c r="AJ68" s="2954"/>
      <c r="AK68" s="1678"/>
      <c r="AL68" s="14"/>
      <c r="AM68" s="1096"/>
      <c r="AN68" s="1769"/>
      <c r="AO68" s="1770"/>
      <c r="AP68" s="1743">
        <f>AO62*60+AQ62</f>
        <v>750</v>
      </c>
      <c r="AQ68" s="1743"/>
      <c r="AR68" s="1744"/>
      <c r="AS68" s="1743">
        <f>AR62*60+AT62</f>
        <v>750</v>
      </c>
      <c r="AT68" s="1745"/>
      <c r="AU68" s="1745"/>
      <c r="AV68" s="1743">
        <f>AU62*60+AW62</f>
        <v>750</v>
      </c>
      <c r="AW68" s="1746"/>
      <c r="AX68" s="46"/>
      <c r="AY68" s="46"/>
      <c r="AZ68" s="1384"/>
      <c r="BA68" s="1384"/>
      <c r="BB68" s="1463"/>
      <c r="BC68" s="1384"/>
      <c r="BD68" s="1396"/>
      <c r="BE68" s="1396"/>
      <c r="BF68" s="2928">
        <f>(BE68+BD68)/2</f>
        <v>0</v>
      </c>
      <c r="BG68" s="1397"/>
      <c r="BH68" s="2930">
        <f t="shared" si="48"/>
        <v>-17.777777777777779</v>
      </c>
      <c r="BI68" s="2930">
        <f t="shared" si="49"/>
        <v>-17.777777777777779</v>
      </c>
      <c r="BJ68" s="1387">
        <v>0</v>
      </c>
      <c r="BK68" s="1387">
        <v>0</v>
      </c>
      <c r="BL68" s="2191"/>
    </row>
    <row r="69" spans="1:64" ht="15" customHeight="1">
      <c r="A69" s="2955"/>
      <c r="B69" s="842" t="s">
        <v>30</v>
      </c>
      <c r="C69" s="342"/>
      <c r="D69" s="342"/>
      <c r="E69" s="342"/>
      <c r="F69" s="342"/>
      <c r="G69" s="342"/>
      <c r="H69" s="342"/>
      <c r="I69" s="342"/>
      <c r="J69" s="342"/>
      <c r="K69" s="342"/>
      <c r="L69" s="197"/>
      <c r="M69" s="197"/>
      <c r="N69" s="197"/>
      <c r="O69" s="197"/>
      <c r="P69" s="197"/>
      <c r="Q69" s="3468"/>
      <c r="R69" s="3469"/>
      <c r="S69" s="3470"/>
      <c r="T69" s="1255"/>
      <c r="U69" s="2709">
        <v>5</v>
      </c>
      <c r="V69" s="2712">
        <v>1.4239999999999999</v>
      </c>
      <c r="W69" s="1098"/>
      <c r="X69" s="1377" t="s">
        <v>1589</v>
      </c>
      <c r="Y69" s="1980">
        <f>U41</f>
        <v>0</v>
      </c>
      <c r="Z69" s="1981">
        <f>10/7.273</f>
        <v>1.3749484394335214</v>
      </c>
      <c r="AA69" s="1377">
        <f>Y69*Z69</f>
        <v>0</v>
      </c>
      <c r="AB69" s="1098"/>
      <c r="AC69" s="1098"/>
      <c r="AD69" s="1098"/>
      <c r="AE69" s="1098"/>
      <c r="AF69" s="539"/>
      <c r="AG69" s="199"/>
      <c r="AH69" s="540"/>
      <c r="AI69" s="569"/>
      <c r="AJ69" s="539"/>
      <c r="AK69" s="539"/>
      <c r="AL69" s="570"/>
      <c r="AM69" s="1096"/>
      <c r="AN69" s="1692"/>
      <c r="AO69" s="1692"/>
      <c r="AP69" s="1743"/>
      <c r="AQ69" s="1743"/>
      <c r="AR69" s="1744"/>
      <c r="AS69" s="1743"/>
      <c r="AT69" s="1745"/>
      <c r="AU69" s="1745"/>
      <c r="AV69" s="1743"/>
      <c r="AW69" s="1746"/>
      <c r="AX69" s="46"/>
      <c r="AY69" s="46"/>
      <c r="AZ69" s="1645" t="s">
        <v>758</v>
      </c>
      <c r="BA69" s="1384" t="s">
        <v>673</v>
      </c>
      <c r="BB69" s="1385" t="s">
        <v>674</v>
      </c>
      <c r="BC69" s="1384" t="s">
        <v>675</v>
      </c>
      <c r="BD69" s="1386">
        <v>72</v>
      </c>
      <c r="BE69" s="1386">
        <v>78</v>
      </c>
      <c r="BF69" s="2928">
        <f t="shared" ref="BF69:BF131" si="50">(BE69+BD69)/2</f>
        <v>75</v>
      </c>
      <c r="BG69" s="1382" t="s">
        <v>676</v>
      </c>
      <c r="BH69" s="2930">
        <f t="shared" si="48"/>
        <v>20</v>
      </c>
      <c r="BI69" s="2930">
        <f t="shared" si="49"/>
        <v>22.777777777777779</v>
      </c>
      <c r="BJ69" s="1387">
        <v>68</v>
      </c>
      <c r="BK69" s="1387">
        <v>73</v>
      </c>
      <c r="BL69" s="2191"/>
    </row>
    <row r="70" spans="1:64" ht="15" customHeight="1">
      <c r="A70" s="2955"/>
      <c r="B70" s="3453" t="s">
        <v>1643</v>
      </c>
      <c r="C70" s="3453"/>
      <c r="D70" s="3453"/>
      <c r="E70" s="3453"/>
      <c r="F70" s="3453"/>
      <c r="G70" s="3453"/>
      <c r="H70" s="3453"/>
      <c r="I70" s="3454"/>
      <c r="J70" s="1988" t="s">
        <v>22</v>
      </c>
      <c r="K70" s="1989" t="s">
        <v>23</v>
      </c>
      <c r="L70" s="342"/>
      <c r="M70" s="342"/>
      <c r="N70" s="342"/>
      <c r="O70" s="342"/>
      <c r="P70" s="342"/>
      <c r="Q70" s="3471"/>
      <c r="R70" s="3472"/>
      <c r="S70" s="3473"/>
      <c r="T70" s="1255"/>
      <c r="U70" s="2709">
        <v>6</v>
      </c>
      <c r="V70" s="2712">
        <v>1.377</v>
      </c>
      <c r="W70" s="539"/>
      <c r="X70" s="1377" t="s">
        <v>1590</v>
      </c>
      <c r="Y70" s="1980">
        <f>U42</f>
        <v>0</v>
      </c>
      <c r="Z70" s="1981">
        <f>10/6.17284</f>
        <v>1.6199998704000105</v>
      </c>
      <c r="AA70" s="1377">
        <f>Y70*Z70/10</f>
        <v>0</v>
      </c>
      <c r="AB70" s="539"/>
      <c r="AC70" s="539"/>
      <c r="AD70" s="539"/>
      <c r="AE70" s="539"/>
      <c r="AF70" s="1730">
        <f>AF72-L62</f>
        <v>735</v>
      </c>
      <c r="AG70" s="1730"/>
      <c r="AH70" s="1731"/>
      <c r="AI70" s="1730">
        <f>AI72-O62</f>
        <v>735</v>
      </c>
      <c r="AJ70" s="1731"/>
      <c r="AK70" s="1722"/>
      <c r="AL70" s="1730">
        <f>AL72-R62</f>
        <v>735</v>
      </c>
      <c r="AM70" s="1096"/>
      <c r="AN70" s="1692"/>
      <c r="AO70" s="1692"/>
      <c r="AP70" s="1692"/>
      <c r="AQ70" s="1692"/>
      <c r="AR70" s="1692"/>
      <c r="AS70" s="1692"/>
      <c r="AT70" s="1692"/>
      <c r="AU70" s="1692"/>
      <c r="AV70" s="1692"/>
      <c r="AW70" s="1692"/>
      <c r="AX70" s="46"/>
      <c r="AY70" s="46"/>
      <c r="AZ70" s="1697" t="s">
        <v>759</v>
      </c>
      <c r="BA70" s="1392" t="s">
        <v>681</v>
      </c>
      <c r="BB70" s="1385" t="s">
        <v>674</v>
      </c>
      <c r="BC70" s="1384" t="s">
        <v>675</v>
      </c>
      <c r="BD70" s="1406">
        <v>75</v>
      </c>
      <c r="BE70" s="1386">
        <v>80</v>
      </c>
      <c r="BF70" s="2928">
        <f t="shared" si="50"/>
        <v>77.5</v>
      </c>
      <c r="BG70" s="1382" t="s">
        <v>688</v>
      </c>
      <c r="BH70" s="2930">
        <f t="shared" si="48"/>
        <v>18.888888888888886</v>
      </c>
      <c r="BI70" s="2930">
        <f t="shared" si="49"/>
        <v>21.111111111111114</v>
      </c>
      <c r="BJ70" s="1387">
        <v>66</v>
      </c>
      <c r="BK70" s="1387">
        <v>70</v>
      </c>
      <c r="BL70" s="2191"/>
    </row>
    <row r="71" spans="1:64" ht="15" customHeight="1">
      <c r="A71" s="2955"/>
      <c r="B71" s="3455" t="s">
        <v>1642</v>
      </c>
      <c r="C71" s="3455"/>
      <c r="D71" s="3455"/>
      <c r="E71" s="3455"/>
      <c r="F71" s="3455"/>
      <c r="G71" s="3455"/>
      <c r="H71" s="3455"/>
      <c r="I71" s="3454"/>
      <c r="J71" s="2959">
        <v>2</v>
      </c>
      <c r="K71" s="2960">
        <v>8</v>
      </c>
      <c r="L71" s="342"/>
      <c r="M71" s="342"/>
      <c r="N71" s="1359"/>
      <c r="O71" s="1254"/>
      <c r="P71" s="1254"/>
      <c r="Q71" s="1254"/>
      <c r="R71" s="1254"/>
      <c r="S71" s="1254"/>
      <c r="T71" s="1254"/>
      <c r="U71" s="2709">
        <v>7</v>
      </c>
      <c r="V71" s="2712">
        <v>1.331</v>
      </c>
      <c r="W71" s="539"/>
      <c r="X71" s="1377" t="s">
        <v>1591</v>
      </c>
      <c r="Y71" s="1980">
        <f>SUM(U43:U52)</f>
        <v>283.5</v>
      </c>
      <c r="Z71" s="1377">
        <v>1.07</v>
      </c>
      <c r="AA71" s="1377">
        <f>Y71*Z71</f>
        <v>303.34500000000003</v>
      </c>
      <c r="AB71" s="539"/>
      <c r="AC71" s="539"/>
      <c r="AD71" s="539"/>
      <c r="AE71" s="539"/>
      <c r="AF71" s="1730">
        <f>AF72-M62</f>
        <v>750</v>
      </c>
      <c r="AG71" s="1730"/>
      <c r="AH71" s="1731"/>
      <c r="AI71" s="1730">
        <f>AI72-P62</f>
        <v>750</v>
      </c>
      <c r="AJ71" s="1731"/>
      <c r="AK71" s="1722"/>
      <c r="AL71" s="1730">
        <f>AL72-S62</f>
        <v>750</v>
      </c>
      <c r="AM71" s="1096"/>
      <c r="AN71" s="1692"/>
      <c r="AO71" s="1692"/>
      <c r="AP71" s="1692"/>
      <c r="AQ71" s="1692"/>
      <c r="AR71" s="1692"/>
      <c r="AS71" s="1692"/>
      <c r="AT71" s="1692"/>
      <c r="AU71" s="1692"/>
      <c r="AV71" s="1692"/>
      <c r="AW71" s="1692"/>
      <c r="AX71" s="46"/>
      <c r="AY71" s="46"/>
      <c r="AZ71" s="1645" t="s">
        <v>760</v>
      </c>
      <c r="BA71" s="1384" t="s">
        <v>673</v>
      </c>
      <c r="BB71" s="1385" t="s">
        <v>674</v>
      </c>
      <c r="BC71" s="1384" t="s">
        <v>675</v>
      </c>
      <c r="BD71" s="1406">
        <v>75</v>
      </c>
      <c r="BE71" s="1386">
        <v>80</v>
      </c>
      <c r="BF71" s="2928">
        <f t="shared" si="50"/>
        <v>77.5</v>
      </c>
      <c r="BG71" s="1382" t="s">
        <v>676</v>
      </c>
      <c r="BH71" s="2930">
        <f t="shared" si="48"/>
        <v>20</v>
      </c>
      <c r="BI71" s="2930">
        <f t="shared" si="49"/>
        <v>22.777777777777779</v>
      </c>
      <c r="BJ71" s="1387">
        <v>68</v>
      </c>
      <c r="BK71" s="1387">
        <v>73</v>
      </c>
      <c r="BL71" s="2191"/>
    </row>
    <row r="72" spans="1:64" ht="15" customHeight="1">
      <c r="A72" s="2955"/>
      <c r="B72" s="1113"/>
      <c r="C72" s="84"/>
      <c r="D72" s="1114"/>
      <c r="E72" s="1115"/>
      <c r="F72" s="1115"/>
      <c r="G72" s="1115"/>
      <c r="H72" s="1115"/>
      <c r="I72" s="1115"/>
      <c r="J72" s="2961">
        <v>2.5</v>
      </c>
      <c r="K72" s="2962"/>
      <c r="L72" s="342"/>
      <c r="M72" s="342"/>
      <c r="N72" s="1359"/>
      <c r="O72" s="1254"/>
      <c r="P72" s="1254"/>
      <c r="Q72" s="1254"/>
      <c r="R72" s="1254"/>
      <c r="S72" s="1254"/>
      <c r="T72" s="1255"/>
      <c r="U72" s="2709">
        <v>8</v>
      </c>
      <c r="V72" s="2712">
        <v>1.282</v>
      </c>
      <c r="W72" s="539"/>
      <c r="X72" s="1982" t="s">
        <v>1592</v>
      </c>
      <c r="Y72" s="1987">
        <f>SUM(U53:U55)+C24*C57</f>
        <v>441</v>
      </c>
      <c r="Z72" s="1982">
        <v>1</v>
      </c>
      <c r="AA72" s="1982">
        <f>Y72*Z72</f>
        <v>441</v>
      </c>
      <c r="AB72" s="539"/>
      <c r="AC72" s="539"/>
      <c r="AD72" s="539"/>
      <c r="AE72" s="539"/>
      <c r="AF72" s="1730">
        <f>AP68+M62</f>
        <v>765</v>
      </c>
      <c r="AG72" s="1730"/>
      <c r="AH72" s="1731"/>
      <c r="AI72" s="1730">
        <f>AS68+P62</f>
        <v>765</v>
      </c>
      <c r="AJ72" s="1731"/>
      <c r="AK72" s="1722"/>
      <c r="AL72" s="1730">
        <f>AV68+S62</f>
        <v>765</v>
      </c>
      <c r="AM72" s="1096"/>
      <c r="AN72" s="1692"/>
      <c r="AO72" s="1692"/>
      <c r="AP72" s="1692"/>
      <c r="AQ72" s="1692"/>
      <c r="AR72" s="1692"/>
      <c r="AS72" s="1692"/>
      <c r="AT72" s="1692"/>
      <c r="AU72" s="1692"/>
      <c r="AV72" s="1692"/>
      <c r="AW72" s="1692"/>
      <c r="AX72" s="46"/>
      <c r="AY72" s="46"/>
      <c r="AZ72" s="1645" t="s">
        <v>761</v>
      </c>
      <c r="BA72" s="1384" t="s">
        <v>690</v>
      </c>
      <c r="BB72" s="1385" t="s">
        <v>674</v>
      </c>
      <c r="BC72" s="1384" t="s">
        <v>678</v>
      </c>
      <c r="BD72" s="1386">
        <v>70</v>
      </c>
      <c r="BE72" s="1386">
        <v>74</v>
      </c>
      <c r="BF72" s="2928">
        <f t="shared" si="50"/>
        <v>72</v>
      </c>
      <c r="BG72" s="1397">
        <v>9</v>
      </c>
      <c r="BH72" s="2930">
        <f t="shared" si="48"/>
        <v>14.444444444444443</v>
      </c>
      <c r="BI72" s="2930">
        <f t="shared" si="49"/>
        <v>20</v>
      </c>
      <c r="BJ72" s="1387">
        <v>58</v>
      </c>
      <c r="BK72" s="1387">
        <v>68</v>
      </c>
      <c r="BL72" s="2191"/>
    </row>
    <row r="73" spans="1:64" ht="15" customHeight="1">
      <c r="A73" s="2955"/>
      <c r="B73" s="1961" t="s">
        <v>959</v>
      </c>
      <c r="C73" s="1116"/>
      <c r="D73" s="1116"/>
      <c r="E73" s="1116"/>
      <c r="F73" s="1116"/>
      <c r="G73" s="1116"/>
      <c r="H73" s="1116"/>
      <c r="I73" s="1116"/>
      <c r="J73" s="1116"/>
      <c r="K73" s="1116"/>
      <c r="L73" s="1116"/>
      <c r="M73" s="342"/>
      <c r="N73" s="1359"/>
      <c r="O73" s="1528"/>
      <c r="P73" s="1254"/>
      <c r="Q73" s="1254"/>
      <c r="R73" s="1254"/>
      <c r="S73" s="1254"/>
      <c r="T73" s="1255"/>
      <c r="U73" s="2709">
        <v>9</v>
      </c>
      <c r="V73" s="2712">
        <v>1.2370000000000001</v>
      </c>
      <c r="W73" s="539"/>
      <c r="X73" s="1377"/>
      <c r="Y73" s="1980">
        <f>SUM(Y68:Y72)</f>
        <v>3446.1000000000004</v>
      </c>
      <c r="Z73" s="1377"/>
      <c r="AA73" s="1377">
        <f>SUM(AA68:AA72)</f>
        <v>3465.9450000000006</v>
      </c>
      <c r="AB73" s="539"/>
      <c r="AC73" s="539"/>
      <c r="AD73" s="539"/>
      <c r="AE73" s="539"/>
      <c r="AF73" s="539"/>
      <c r="AG73" s="571"/>
      <c r="AH73" s="540"/>
      <c r="AI73" s="199"/>
      <c r="AJ73" s="539"/>
      <c r="AK73" s="539"/>
      <c r="AL73" s="539"/>
      <c r="AM73" s="1096"/>
      <c r="AN73" s="1692"/>
      <c r="AO73" s="1255"/>
      <c r="AP73" s="1692"/>
      <c r="AQ73" s="1692"/>
      <c r="AR73" s="1692"/>
      <c r="AS73" s="1692"/>
      <c r="AT73" s="1692"/>
      <c r="AU73" s="1692"/>
      <c r="AV73" s="1692"/>
      <c r="AW73" s="1692"/>
      <c r="AX73" s="46"/>
      <c r="AY73" s="46"/>
      <c r="AZ73" s="1645" t="s">
        <v>762</v>
      </c>
      <c r="BA73" s="1384" t="s">
        <v>690</v>
      </c>
      <c r="BB73" s="1385" t="s">
        <v>674</v>
      </c>
      <c r="BC73" s="1384" t="s">
        <v>686</v>
      </c>
      <c r="BD73" s="1386">
        <v>73</v>
      </c>
      <c r="BE73" s="1386">
        <v>77</v>
      </c>
      <c r="BF73" s="2928">
        <f t="shared" si="50"/>
        <v>75</v>
      </c>
      <c r="BG73" s="1397">
        <v>9</v>
      </c>
      <c r="BH73" s="2930">
        <f t="shared" si="48"/>
        <v>18.333333333333336</v>
      </c>
      <c r="BI73" s="2930">
        <f t="shared" si="49"/>
        <v>26.666666666666671</v>
      </c>
      <c r="BJ73" s="1387">
        <v>65</v>
      </c>
      <c r="BK73" s="1387">
        <v>80</v>
      </c>
      <c r="BL73" s="2191"/>
    </row>
    <row r="74" spans="1:64" ht="15" customHeight="1">
      <c r="A74" s="2955"/>
      <c r="B74" s="67"/>
      <c r="C74" s="1118"/>
      <c r="D74" s="1118"/>
      <c r="E74" s="1118"/>
      <c r="F74" s="1118"/>
      <c r="G74" s="1118"/>
      <c r="H74" s="1118"/>
      <c r="I74" s="1118"/>
      <c r="J74" s="1118"/>
      <c r="K74" s="1116"/>
      <c r="L74" s="1116"/>
      <c r="M74" s="2955"/>
      <c r="N74" s="1519"/>
      <c r="O74" s="1528"/>
      <c r="P74" s="1529" t="s">
        <v>132</v>
      </c>
      <c r="Q74" s="1488"/>
      <c r="R74" s="1488"/>
      <c r="S74" s="1488"/>
      <c r="T74" s="1255"/>
      <c r="U74" s="2709">
        <v>10</v>
      </c>
      <c r="V74" s="2712">
        <v>1.194</v>
      </c>
      <c r="W74" s="539"/>
      <c r="X74" s="1377"/>
      <c r="Y74" s="1377"/>
      <c r="Z74" s="1377"/>
      <c r="AA74" s="1377"/>
      <c r="AB74" s="539"/>
      <c r="AC74" s="539"/>
      <c r="AD74" s="539"/>
      <c r="AE74" s="539"/>
      <c r="AF74" s="1680"/>
      <c r="AG74" s="539"/>
      <c r="AH74" s="540"/>
      <c r="AI74" s="540"/>
      <c r="AJ74" s="540"/>
      <c r="AK74" s="1487"/>
      <c r="AL74" s="540"/>
      <c r="AM74" s="1096"/>
      <c r="AN74" s="3637" t="s">
        <v>1517</v>
      </c>
      <c r="AO74" s="3637"/>
      <c r="AP74" s="3637"/>
      <c r="AQ74" s="3637"/>
      <c r="AR74" s="3637"/>
      <c r="AS74" s="3637"/>
      <c r="AT74" s="3637"/>
      <c r="AU74" s="3637"/>
      <c r="AV74" s="3637"/>
      <c r="AW74" s="3637"/>
      <c r="AX74" s="46"/>
      <c r="AY74" s="46"/>
      <c r="AZ74" s="1645" t="s">
        <v>763</v>
      </c>
      <c r="BA74" s="1384" t="s">
        <v>673</v>
      </c>
      <c r="BB74" s="1385" t="s">
        <v>674</v>
      </c>
      <c r="BC74" s="1384" t="s">
        <v>670</v>
      </c>
      <c r="BD74" s="1386">
        <v>70</v>
      </c>
      <c r="BE74" s="1386">
        <v>80</v>
      </c>
      <c r="BF74" s="2928">
        <f t="shared" si="50"/>
        <v>75</v>
      </c>
      <c r="BG74" s="1382" t="s">
        <v>688</v>
      </c>
      <c r="BH74" s="2930">
        <f t="shared" si="48"/>
        <v>20</v>
      </c>
      <c r="BI74" s="2930">
        <f t="shared" si="49"/>
        <v>26.666666666666671</v>
      </c>
      <c r="BJ74" s="1387">
        <v>68</v>
      </c>
      <c r="BK74" s="1387">
        <v>80</v>
      </c>
      <c r="BL74" s="2191"/>
    </row>
    <row r="75" spans="1:64" ht="15" customHeight="1">
      <c r="A75" s="2621"/>
      <c r="B75" s="67"/>
      <c r="C75" s="29"/>
      <c r="D75" s="29"/>
      <c r="E75" s="29"/>
      <c r="F75" s="29"/>
      <c r="G75" s="29"/>
      <c r="H75" s="29"/>
      <c r="I75" s="29"/>
      <c r="J75" s="29"/>
      <c r="K75" s="29"/>
      <c r="L75" s="29"/>
      <c r="M75" s="29"/>
      <c r="N75" s="29"/>
      <c r="O75" s="29"/>
      <c r="P75" s="258" t="s">
        <v>295</v>
      </c>
      <c r="Q75" s="378" t="s">
        <v>23</v>
      </c>
      <c r="R75" s="3232" t="s">
        <v>983</v>
      </c>
      <c r="S75" s="3233"/>
      <c r="T75" s="1516" t="s">
        <v>141</v>
      </c>
      <c r="U75" s="2709">
        <v>11</v>
      </c>
      <c r="V75" s="2712">
        <v>1.1539999999999999</v>
      </c>
      <c r="W75" s="539"/>
      <c r="X75" s="1377"/>
      <c r="Y75" s="1377"/>
      <c r="Z75" s="1377"/>
      <c r="AA75" s="1984">
        <f>AA72/AA73</f>
        <v>0.12723802599291101</v>
      </c>
      <c r="AB75" s="539"/>
      <c r="AC75" s="539"/>
      <c r="AD75" s="539"/>
      <c r="AE75" s="539"/>
      <c r="AN75" s="1692"/>
      <c r="AP75" s="1255"/>
      <c r="AQ75" s="1255"/>
      <c r="AR75" s="1255"/>
      <c r="AS75" s="1255"/>
      <c r="AT75" s="1255"/>
      <c r="AU75" s="1255"/>
      <c r="AV75" s="2868"/>
      <c r="AW75" s="1255"/>
      <c r="AX75" s="46"/>
      <c r="AY75" s="46"/>
      <c r="AZ75" s="1645" t="s">
        <v>764</v>
      </c>
      <c r="BA75" s="1384" t="s">
        <v>673</v>
      </c>
      <c r="BB75" s="1385" t="s">
        <v>674</v>
      </c>
      <c r="BC75" s="1384" t="s">
        <v>675</v>
      </c>
      <c r="BD75" s="1386">
        <v>65</v>
      </c>
      <c r="BE75" s="1386">
        <v>72</v>
      </c>
      <c r="BF75" s="2928">
        <f t="shared" si="50"/>
        <v>68.5</v>
      </c>
      <c r="BG75" s="1382" t="s">
        <v>676</v>
      </c>
      <c r="BH75" s="2930">
        <f t="shared" si="48"/>
        <v>10</v>
      </c>
      <c r="BI75" s="2930">
        <f t="shared" si="49"/>
        <v>14.444444444444443</v>
      </c>
      <c r="BJ75" s="1387">
        <v>50</v>
      </c>
      <c r="BK75" s="1387">
        <v>58</v>
      </c>
      <c r="BL75" s="2191"/>
    </row>
    <row r="76" spans="1:64" ht="15" customHeight="1">
      <c r="A76" s="2521"/>
      <c r="B76" s="29"/>
      <c r="C76" s="29"/>
      <c r="D76" s="29"/>
      <c r="E76" s="29"/>
      <c r="F76" s="29"/>
      <c r="G76" s="29"/>
      <c r="H76" s="29"/>
      <c r="I76" s="29"/>
      <c r="J76" s="29"/>
      <c r="K76" s="29"/>
      <c r="L76" s="29"/>
      <c r="M76" s="29"/>
      <c r="N76" s="29"/>
      <c r="O76" s="29"/>
      <c r="P76" s="261">
        <v>2.2000000000000002</v>
      </c>
      <c r="Q76" s="1008">
        <f>P76*16</f>
        <v>35.200000000000003</v>
      </c>
      <c r="R76" s="3232" t="str">
        <f>INT(Q76/16)&amp;" lb. "&amp;FIXED(Q76-16*INT(Q76/16))&amp;" oz"</f>
        <v>2 lb. 3.20 oz</v>
      </c>
      <c r="S76" s="3233"/>
      <c r="T76" s="1516">
        <f>Q76*28.3495</f>
        <v>997.90240000000006</v>
      </c>
      <c r="U76" s="2709">
        <v>12</v>
      </c>
      <c r="V76" s="2712">
        <v>1.117</v>
      </c>
      <c r="W76" s="539"/>
      <c r="X76" s="539"/>
      <c r="Y76" s="539"/>
      <c r="Z76" s="539"/>
      <c r="AA76" s="539"/>
      <c r="AB76" s="539"/>
      <c r="AC76" s="539"/>
      <c r="AD76" s="539"/>
      <c r="AE76" s="539"/>
      <c r="AF76" s="1680"/>
      <c r="AG76" s="539"/>
      <c r="AH76" s="540"/>
      <c r="AI76" s="540"/>
      <c r="AJ76" s="540"/>
      <c r="AK76" s="1487"/>
      <c r="AL76" s="540"/>
      <c r="AM76" s="1096"/>
      <c r="AN76" s="1692"/>
      <c r="AO76" s="1255"/>
      <c r="AP76" s="1255"/>
      <c r="AQ76" s="1255"/>
      <c r="AR76" s="1255"/>
      <c r="AS76" s="1255"/>
      <c r="AT76" s="1255"/>
      <c r="AU76" s="1255"/>
      <c r="AV76" s="2868"/>
      <c r="AW76" s="3636"/>
      <c r="AX76" s="46"/>
      <c r="AY76" s="46"/>
      <c r="AZ76" s="1698" t="s">
        <v>765</v>
      </c>
      <c r="BA76" s="1384" t="s">
        <v>690</v>
      </c>
      <c r="BB76" s="1385" t="s">
        <v>674</v>
      </c>
      <c r="BC76" s="1384" t="s">
        <v>675</v>
      </c>
      <c r="BD76" s="1386">
        <v>74</v>
      </c>
      <c r="BE76" s="1386">
        <v>79</v>
      </c>
      <c r="BF76" s="2928">
        <f t="shared" si="50"/>
        <v>76.5</v>
      </c>
      <c r="BG76" s="1397">
        <v>12</v>
      </c>
      <c r="BH76" s="2930">
        <f t="shared" si="48"/>
        <v>18.333333333333336</v>
      </c>
      <c r="BI76" s="2930">
        <f t="shared" si="49"/>
        <v>21.111111111111114</v>
      </c>
      <c r="BJ76" s="1393">
        <v>65</v>
      </c>
      <c r="BK76" s="1394">
        <v>70</v>
      </c>
      <c r="BL76" s="2191"/>
    </row>
    <row r="77" spans="1:64" ht="15" customHeight="1">
      <c r="A77" s="2521"/>
      <c r="B77" s="29"/>
      <c r="C77" s="29"/>
      <c r="D77" s="29"/>
      <c r="E77" s="29"/>
      <c r="F77" s="29"/>
      <c r="G77" s="29"/>
      <c r="H77" s="29"/>
      <c r="I77" s="29"/>
      <c r="J77" s="29"/>
      <c r="K77" s="29"/>
      <c r="L77" s="29"/>
      <c r="M77" s="29"/>
      <c r="N77" s="29"/>
      <c r="O77" s="29"/>
      <c r="P77" s="1254"/>
      <c r="Q77" s="1254"/>
      <c r="R77" s="1254"/>
      <c r="S77" s="1254"/>
      <c r="T77" s="1255"/>
      <c r="U77" s="2709">
        <v>13</v>
      </c>
      <c r="V77" s="2712">
        <v>1.083</v>
      </c>
      <c r="W77" s="539"/>
      <c r="X77" s="539"/>
      <c r="Y77" s="539"/>
      <c r="Z77" s="539"/>
      <c r="AA77" s="539"/>
      <c r="AB77" s="539"/>
      <c r="AC77" s="539"/>
      <c r="AD77" s="539"/>
      <c r="AE77" s="539"/>
      <c r="AF77" s="1680"/>
      <c r="AG77" s="539"/>
      <c r="AH77" s="540"/>
      <c r="AI77" s="540"/>
      <c r="AJ77" s="540"/>
      <c r="AK77" s="1487"/>
      <c r="AL77" s="540"/>
      <c r="AM77" s="1096"/>
      <c r="AN77" s="1692"/>
      <c r="AO77" s="1255"/>
      <c r="AP77" s="1255"/>
      <c r="AQ77" s="1255"/>
      <c r="AR77" s="1255"/>
      <c r="AS77" s="1255"/>
      <c r="AT77" s="1255"/>
      <c r="AU77" s="1255"/>
      <c r="AV77" s="2868"/>
      <c r="AW77" s="3636"/>
      <c r="AX77" s="46"/>
      <c r="AY77" s="46"/>
      <c r="AZ77" s="1645" t="s">
        <v>766</v>
      </c>
      <c r="BA77" s="1384" t="s">
        <v>673</v>
      </c>
      <c r="BB77" s="1385" t="s">
        <v>674</v>
      </c>
      <c r="BC77" s="1384" t="s">
        <v>691</v>
      </c>
      <c r="BD77" s="1386">
        <v>70</v>
      </c>
      <c r="BE77" s="1386">
        <v>75</v>
      </c>
      <c r="BF77" s="2928">
        <f t="shared" si="50"/>
        <v>72.5</v>
      </c>
      <c r="BG77" s="1382" t="s">
        <v>676</v>
      </c>
      <c r="BH77" s="2930">
        <f t="shared" si="48"/>
        <v>10</v>
      </c>
      <c r="BI77" s="2930">
        <f t="shared" si="49"/>
        <v>12.777777777777779</v>
      </c>
      <c r="BJ77" s="1387">
        <v>50</v>
      </c>
      <c r="BK77" s="1387">
        <v>55</v>
      </c>
      <c r="BL77" s="2191"/>
    </row>
    <row r="78" spans="1:64" ht="15" customHeight="1">
      <c r="A78" s="2521"/>
      <c r="B78" s="29"/>
      <c r="C78" s="29"/>
      <c r="D78" s="29"/>
      <c r="E78" s="29"/>
      <c r="F78" s="29"/>
      <c r="G78" s="29"/>
      <c r="H78" s="29"/>
      <c r="I78" s="29"/>
      <c r="J78" s="29"/>
      <c r="K78" s="29"/>
      <c r="L78" s="29"/>
      <c r="M78" s="29"/>
      <c r="N78" s="29"/>
      <c r="O78" s="29"/>
      <c r="P78" s="377" t="s">
        <v>981</v>
      </c>
      <c r="Q78" s="378" t="s">
        <v>23</v>
      </c>
      <c r="R78" s="3222" t="s">
        <v>1532</v>
      </c>
      <c r="S78" s="3223"/>
      <c r="T78" s="1255"/>
      <c r="U78" s="2709">
        <f>(U77+U79)/2</f>
        <v>13.5</v>
      </c>
      <c r="V78" s="2709">
        <f>(V77+V79)/2</f>
        <v>1.0665</v>
      </c>
      <c r="W78" s="539"/>
      <c r="X78" s="539"/>
      <c r="Y78" s="539"/>
      <c r="Z78" s="539"/>
      <c r="AA78" s="539"/>
      <c r="AB78" s="539"/>
      <c r="AC78" s="539"/>
      <c r="AD78" s="539"/>
      <c r="AE78" s="539"/>
      <c r="AF78" s="1680"/>
      <c r="AG78" s="539"/>
      <c r="AH78" s="540"/>
      <c r="AI78" s="540"/>
      <c r="AJ78" s="540"/>
      <c r="AK78" s="1487"/>
      <c r="AL78" s="540"/>
      <c r="AM78" s="1096"/>
      <c r="AN78" s="1692"/>
      <c r="AO78" s="1255"/>
      <c r="AP78" s="1255"/>
      <c r="AQ78" s="1255"/>
      <c r="AR78" s="1255"/>
      <c r="AS78" s="1255"/>
      <c r="AT78" s="1255"/>
      <c r="AU78" s="1255"/>
      <c r="AV78" s="2868"/>
      <c r="AW78" s="3636"/>
      <c r="AX78" s="46"/>
      <c r="AY78" s="46"/>
      <c r="AZ78" s="1697" t="s">
        <v>767</v>
      </c>
      <c r="BA78" s="1392" t="s">
        <v>681</v>
      </c>
      <c r="BB78" s="1385" t="s">
        <v>674</v>
      </c>
      <c r="BC78" s="1384" t="s">
        <v>678</v>
      </c>
      <c r="BD78" s="1406">
        <v>73</v>
      </c>
      <c r="BE78" s="1386">
        <v>82</v>
      </c>
      <c r="BF78" s="2928">
        <f t="shared" si="50"/>
        <v>77.5</v>
      </c>
      <c r="BG78" s="1382" t="s">
        <v>676</v>
      </c>
      <c r="BH78" s="2930">
        <f t="shared" si="48"/>
        <v>10</v>
      </c>
      <c r="BI78" s="2930">
        <f t="shared" si="49"/>
        <v>14.444444444444443</v>
      </c>
      <c r="BJ78" s="1387">
        <v>50</v>
      </c>
      <c r="BK78" s="1387">
        <v>58</v>
      </c>
      <c r="BL78" s="2191"/>
    </row>
    <row r="79" spans="1:64" ht="15" customHeight="1">
      <c r="A79" s="2521"/>
      <c r="B79" s="29"/>
      <c r="C79" s="29"/>
      <c r="D79" s="29"/>
      <c r="E79" s="29"/>
      <c r="F79" s="29"/>
      <c r="G79" s="29"/>
      <c r="H79" s="29"/>
      <c r="I79" s="29"/>
      <c r="J79" s="29"/>
      <c r="K79" s="29"/>
      <c r="L79" s="29"/>
      <c r="M79" s="29"/>
      <c r="N79" s="29"/>
      <c r="O79" s="29"/>
      <c r="P79" s="1348">
        <v>1</v>
      </c>
      <c r="Q79" s="1347">
        <v>4</v>
      </c>
      <c r="R79" s="258">
        <f>1000*(P79+Q79/16)*0.4536</f>
        <v>567</v>
      </c>
      <c r="S79" s="266">
        <f>R79/1000</f>
        <v>0.56699999999999995</v>
      </c>
      <c r="T79" s="1255"/>
      <c r="U79" s="2709">
        <v>14</v>
      </c>
      <c r="V79" s="2712">
        <v>1.05</v>
      </c>
      <c r="W79" s="539"/>
      <c r="X79" s="539"/>
      <c r="Y79" s="539"/>
      <c r="Z79" s="539"/>
      <c r="AA79" s="539"/>
      <c r="AB79" s="539"/>
      <c r="AC79" s="539"/>
      <c r="AD79" s="539"/>
      <c r="AE79" s="539"/>
      <c r="AF79" s="1680"/>
      <c r="AG79" s="539"/>
      <c r="AH79" s="540"/>
      <c r="AI79" s="540"/>
      <c r="AJ79" s="540"/>
      <c r="AK79" s="1487"/>
      <c r="AL79" s="540"/>
      <c r="AM79" s="1096"/>
      <c r="AN79" s="1692"/>
      <c r="AO79" s="1255"/>
      <c r="AP79" s="1255"/>
      <c r="AQ79" s="1255"/>
      <c r="AR79" s="1255"/>
      <c r="AS79" s="1255"/>
      <c r="AT79" s="1255"/>
      <c r="AU79" s="1255"/>
      <c r="AV79" s="2868"/>
      <c r="AW79" s="3636"/>
      <c r="AX79" s="46"/>
      <c r="AY79" s="46"/>
      <c r="AZ79" s="1697" t="s">
        <v>768</v>
      </c>
      <c r="BA79" s="1392" t="s">
        <v>681</v>
      </c>
      <c r="BB79" s="1385" t="s">
        <v>674</v>
      </c>
      <c r="BC79" s="1384" t="s">
        <v>675</v>
      </c>
      <c r="BD79" s="1406">
        <v>70</v>
      </c>
      <c r="BE79" s="1386">
        <v>75</v>
      </c>
      <c r="BF79" s="2928">
        <f t="shared" si="50"/>
        <v>72.5</v>
      </c>
      <c r="BG79" s="1382" t="s">
        <v>676</v>
      </c>
      <c r="BH79" s="2930">
        <f t="shared" si="48"/>
        <v>7.7777777777777786</v>
      </c>
      <c r="BI79" s="2930">
        <f t="shared" si="49"/>
        <v>13.333333333333336</v>
      </c>
      <c r="BJ79" s="1387">
        <v>46</v>
      </c>
      <c r="BK79" s="1387">
        <v>56</v>
      </c>
      <c r="BL79" s="2191"/>
    </row>
    <row r="80" spans="1:64" ht="15" customHeight="1">
      <c r="A80" s="2521"/>
      <c r="B80" s="29"/>
      <c r="C80" s="29"/>
      <c r="D80" s="29"/>
      <c r="E80" s="29"/>
      <c r="F80" s="29"/>
      <c r="G80" s="29"/>
      <c r="H80" s="29"/>
      <c r="I80" s="29"/>
      <c r="J80" s="29"/>
      <c r="K80" s="29"/>
      <c r="L80" s="29"/>
      <c r="M80" s="29"/>
      <c r="N80" s="29"/>
      <c r="O80" s="29"/>
      <c r="P80" s="29"/>
      <c r="Q80" s="29"/>
      <c r="R80" s="29"/>
      <c r="S80" s="29"/>
      <c r="T80" s="29"/>
      <c r="U80" s="2709">
        <f>(U79+U81)/2</f>
        <v>14.5</v>
      </c>
      <c r="V80" s="2709">
        <f>(V79+V81)/2</f>
        <v>1.034</v>
      </c>
      <c r="W80" s="539"/>
      <c r="X80" s="539"/>
      <c r="Y80" s="539"/>
      <c r="Z80" s="539"/>
      <c r="AA80" s="539"/>
      <c r="AB80" s="539"/>
      <c r="AC80" s="539"/>
      <c r="AD80" s="539"/>
      <c r="AE80" s="539"/>
      <c r="AF80" s="1680"/>
      <c r="AG80" s="539"/>
      <c r="AH80" s="540"/>
      <c r="AI80" s="540"/>
      <c r="AJ80" s="540"/>
      <c r="AK80" s="1487"/>
      <c r="AL80" s="540"/>
      <c r="AM80" s="1096"/>
      <c r="AN80" s="1255"/>
      <c r="AO80" s="1255"/>
      <c r="AP80" s="1255"/>
      <c r="AQ80" s="1255"/>
      <c r="AR80" s="1255"/>
      <c r="AS80" s="1255"/>
      <c r="AT80" s="1255"/>
      <c r="AU80" s="1255"/>
      <c r="AV80" s="2868"/>
      <c r="AW80" s="3636"/>
      <c r="AX80" s="46"/>
      <c r="AY80" s="46"/>
      <c r="AZ80" s="1645" t="s">
        <v>769</v>
      </c>
      <c r="BA80" s="1384" t="s">
        <v>683</v>
      </c>
      <c r="BB80" s="1385" t="s">
        <v>674</v>
      </c>
      <c r="BC80" s="1384" t="s">
        <v>675</v>
      </c>
      <c r="BD80" s="1396"/>
      <c r="BE80" s="1396"/>
      <c r="BF80" s="2928">
        <f t="shared" si="50"/>
        <v>0</v>
      </c>
      <c r="BG80" s="1397" t="s">
        <v>684</v>
      </c>
      <c r="BH80" s="2930">
        <f t="shared" si="48"/>
        <v>18.333333333333336</v>
      </c>
      <c r="BI80" s="2930">
        <f t="shared" si="49"/>
        <v>21.111111111111114</v>
      </c>
      <c r="BJ80" s="1387">
        <v>65</v>
      </c>
      <c r="BK80" s="1387">
        <v>70</v>
      </c>
      <c r="BL80" s="2191"/>
    </row>
    <row r="81" spans="1:64" ht="15" customHeight="1">
      <c r="A81" s="2521"/>
      <c r="B81" s="29"/>
      <c r="C81" s="29"/>
      <c r="D81" s="29"/>
      <c r="E81" s="29"/>
      <c r="F81" s="29"/>
      <c r="G81" s="29"/>
      <c r="H81" s="29"/>
      <c r="I81" s="29"/>
      <c r="J81" s="29"/>
      <c r="K81" s="29"/>
      <c r="L81" s="29"/>
      <c r="M81" s="29"/>
      <c r="N81" s="29"/>
      <c r="O81" s="29"/>
      <c r="P81" s="258" t="s">
        <v>133</v>
      </c>
      <c r="Q81" s="2498" t="s">
        <v>23</v>
      </c>
      <c r="R81" s="2498" t="s">
        <v>981</v>
      </c>
      <c r="S81" s="3224" t="s">
        <v>1534</v>
      </c>
      <c r="T81" s="3224"/>
      <c r="U81" s="2709">
        <v>15</v>
      </c>
      <c r="V81" s="2712">
        <v>1.018</v>
      </c>
      <c r="W81" s="539"/>
      <c r="X81" s="539"/>
      <c r="Y81" s="539"/>
      <c r="Z81" s="539"/>
      <c r="AA81" s="539"/>
      <c r="AB81" s="539"/>
      <c r="AC81" s="539"/>
      <c r="AD81" s="539"/>
      <c r="AE81" s="539"/>
      <c r="AF81" s="1680"/>
      <c r="AG81" s="539"/>
      <c r="AH81" s="540"/>
      <c r="AI81" s="540"/>
      <c r="AJ81" s="540"/>
      <c r="AK81" s="1487"/>
      <c r="AL81" s="540"/>
      <c r="AM81" s="1096"/>
      <c r="AN81" s="1255"/>
      <c r="AO81" s="1255"/>
      <c r="AP81" s="1255"/>
      <c r="AQ81" s="1255"/>
      <c r="AR81" s="1255"/>
      <c r="AS81" s="1255"/>
      <c r="AT81" s="1255"/>
      <c r="AU81" s="1255"/>
      <c r="AV81" s="2868"/>
      <c r="AW81" s="3636"/>
      <c r="AX81" s="46"/>
      <c r="AY81" s="46"/>
      <c r="AZ81" s="1645" t="s">
        <v>770</v>
      </c>
      <c r="BA81" s="1384" t="s">
        <v>673</v>
      </c>
      <c r="BB81" s="1385" t="s">
        <v>674</v>
      </c>
      <c r="BC81" s="1384" t="s">
        <v>771</v>
      </c>
      <c r="BD81" s="1386">
        <v>63</v>
      </c>
      <c r="BE81" s="1386">
        <v>70</v>
      </c>
      <c r="BF81" s="2928">
        <f t="shared" si="50"/>
        <v>66.5</v>
      </c>
      <c r="BG81" s="1382" t="s">
        <v>676</v>
      </c>
      <c r="BH81" s="2930">
        <f t="shared" si="48"/>
        <v>18.333333333333336</v>
      </c>
      <c r="BI81" s="2930">
        <f t="shared" si="49"/>
        <v>20.555555555555557</v>
      </c>
      <c r="BJ81" s="1387">
        <v>65</v>
      </c>
      <c r="BK81" s="1387">
        <v>69</v>
      </c>
      <c r="BL81" s="2191"/>
    </row>
    <row r="82" spans="1:64" ht="15" customHeight="1">
      <c r="A82" s="2521"/>
      <c r="B82" s="29"/>
      <c r="C82" s="29"/>
      <c r="D82" s="29"/>
      <c r="E82" s="29"/>
      <c r="F82" s="29"/>
      <c r="G82" s="29"/>
      <c r="H82" s="29"/>
      <c r="I82" s="29"/>
      <c r="J82" s="29"/>
      <c r="K82" s="29"/>
      <c r="L82" s="29"/>
      <c r="M82" s="29"/>
      <c r="N82" s="29"/>
      <c r="O82" s="29"/>
      <c r="P82" s="261">
        <v>1000</v>
      </c>
      <c r="Q82" s="1517">
        <f>16*R82</f>
        <v>35.273368606701936</v>
      </c>
      <c r="R82" s="1517">
        <f>P82/(1000*0.4536)</f>
        <v>2.204585537918871</v>
      </c>
      <c r="S82" s="3232" t="str">
        <f>INT(Q82/16)&amp;" lb. "&amp;FIXED(Q82-16*INT(Q82/16))&amp;" oz"</f>
        <v>2 lb. 3.27 oz</v>
      </c>
      <c r="T82" s="3233"/>
      <c r="U82" s="2709">
        <f>(U81+U83)/2</f>
        <v>15.5</v>
      </c>
      <c r="V82" s="2709">
        <f>(V81+V83)/2</f>
        <v>1.0015000000000001</v>
      </c>
      <c r="W82" s="539"/>
      <c r="X82" s="539"/>
      <c r="Y82" s="539"/>
      <c r="Z82" s="539"/>
      <c r="AA82" s="539"/>
      <c r="AB82" s="539"/>
      <c r="AC82" s="539"/>
      <c r="AD82" s="539"/>
      <c r="AE82" s="539"/>
      <c r="AF82" s="1680"/>
      <c r="AG82" s="539"/>
      <c r="AH82" s="540"/>
      <c r="AI82" s="539"/>
      <c r="AJ82" s="539"/>
      <c r="AK82" s="539"/>
      <c r="AL82" s="539"/>
      <c r="AM82" s="1096"/>
      <c r="AN82" s="1255"/>
      <c r="AO82" s="1255"/>
      <c r="AP82" s="1255"/>
      <c r="AQ82" s="1255"/>
      <c r="AR82" s="1255"/>
      <c r="AS82" s="1255"/>
      <c r="AT82" s="1255"/>
      <c r="AU82" s="1255"/>
      <c r="AV82" s="2868"/>
      <c r="AW82" s="3636"/>
      <c r="AX82" s="46"/>
      <c r="AY82" s="46"/>
      <c r="AZ82" s="1698" t="s">
        <v>772</v>
      </c>
      <c r="BA82" s="1384" t="s">
        <v>690</v>
      </c>
      <c r="BB82" s="1385" t="s">
        <v>674</v>
      </c>
      <c r="BC82" s="1384" t="s">
        <v>771</v>
      </c>
      <c r="BD82" s="1386">
        <v>68</v>
      </c>
      <c r="BE82" s="1386">
        <v>72</v>
      </c>
      <c r="BF82" s="2928">
        <f t="shared" si="50"/>
        <v>70</v>
      </c>
      <c r="BG82" s="1397">
        <v>10</v>
      </c>
      <c r="BH82" s="2930">
        <f t="shared" si="48"/>
        <v>18.333333333333336</v>
      </c>
      <c r="BI82" s="2930">
        <f t="shared" si="49"/>
        <v>26.666666666666671</v>
      </c>
      <c r="BJ82" s="1387">
        <v>65</v>
      </c>
      <c r="BK82" s="1387">
        <v>80</v>
      </c>
      <c r="BL82" s="2191"/>
    </row>
    <row r="83" spans="1:64" ht="15" customHeight="1">
      <c r="A83" s="2521"/>
      <c r="B83" s="29"/>
      <c r="C83" s="29"/>
      <c r="D83" s="29"/>
      <c r="E83" s="29"/>
      <c r="F83" s="29"/>
      <c r="G83" s="29"/>
      <c r="H83" s="29"/>
      <c r="I83" s="29"/>
      <c r="J83" s="29"/>
      <c r="K83" s="29"/>
      <c r="L83" s="29"/>
      <c r="M83" s="29"/>
      <c r="N83" s="29"/>
      <c r="O83" s="29"/>
      <c r="P83" s="1510"/>
      <c r="Q83" s="1510"/>
      <c r="R83" s="1510"/>
      <c r="S83" s="1510"/>
      <c r="T83" s="1681"/>
      <c r="U83" s="2709">
        <v>16</v>
      </c>
      <c r="V83" s="2712">
        <v>0.98499999999999999</v>
      </c>
      <c r="W83" s="539"/>
      <c r="X83" s="539"/>
      <c r="Y83" s="539"/>
      <c r="Z83" s="539"/>
      <c r="AA83" s="539"/>
      <c r="AB83" s="539"/>
      <c r="AC83" s="539"/>
      <c r="AD83" s="539"/>
      <c r="AE83" s="539"/>
      <c r="AF83" s="1680"/>
      <c r="AG83" s="539"/>
      <c r="AH83" s="540"/>
      <c r="AI83" s="539"/>
      <c r="AJ83" s="539"/>
      <c r="AK83" s="539"/>
      <c r="AL83" s="539"/>
      <c r="AM83" s="1096"/>
      <c r="AN83" s="1255"/>
      <c r="AO83" s="1255"/>
      <c r="AP83" s="1255"/>
      <c r="AQ83" s="1255"/>
      <c r="AR83" s="1255"/>
      <c r="AS83" s="1255"/>
      <c r="AT83" s="1255"/>
      <c r="AU83" s="1255"/>
      <c r="AV83" s="2868"/>
      <c r="AW83" s="3636"/>
      <c r="AX83" s="46"/>
      <c r="AY83" s="46"/>
      <c r="AZ83" s="1645" t="s">
        <v>773</v>
      </c>
      <c r="BA83" s="1384" t="s">
        <v>673</v>
      </c>
      <c r="BB83" s="1385" t="s">
        <v>674</v>
      </c>
      <c r="BC83" s="1384" t="s">
        <v>678</v>
      </c>
      <c r="BD83" s="1386">
        <v>71</v>
      </c>
      <c r="BE83" s="1386">
        <v>76</v>
      </c>
      <c r="BF83" s="2928">
        <f t="shared" si="50"/>
        <v>73.5</v>
      </c>
      <c r="BG83" s="1382" t="s">
        <v>676</v>
      </c>
      <c r="BH83" s="2930">
        <f t="shared" si="48"/>
        <v>20</v>
      </c>
      <c r="BI83" s="2930">
        <f t="shared" si="49"/>
        <v>22.777777777777779</v>
      </c>
      <c r="BJ83" s="1387">
        <v>68</v>
      </c>
      <c r="BK83" s="1387">
        <v>73</v>
      </c>
      <c r="BL83" s="2191"/>
    </row>
    <row r="84" spans="1:64" ht="15" customHeight="1">
      <c r="A84" s="2521"/>
      <c r="B84" s="29"/>
      <c r="C84" s="29"/>
      <c r="D84" s="29"/>
      <c r="E84" s="29"/>
      <c r="F84" s="29"/>
      <c r="G84" s="29"/>
      <c r="H84" s="29"/>
      <c r="I84" s="29"/>
      <c r="J84" s="29"/>
      <c r="K84" s="29"/>
      <c r="L84" s="29"/>
      <c r="M84" s="29"/>
      <c r="N84" s="29"/>
      <c r="O84" s="29"/>
      <c r="P84" s="1513" t="s">
        <v>1533</v>
      </c>
      <c r="Q84" s="35"/>
      <c r="R84" s="35"/>
      <c r="S84" s="35"/>
      <c r="T84" s="1682"/>
      <c r="U84" s="2709">
        <f>(U83+U85)/2</f>
        <v>16.5</v>
      </c>
      <c r="V84" s="2709">
        <f>(V83+V85)/2</f>
        <v>0.97049999999999992</v>
      </c>
      <c r="W84" s="539"/>
      <c r="X84" s="539"/>
      <c r="Y84" s="539"/>
      <c r="Z84" s="539"/>
      <c r="AA84" s="539"/>
      <c r="AB84" s="539"/>
      <c r="AC84" s="539"/>
      <c r="AD84" s="539"/>
      <c r="AE84" s="539"/>
      <c r="AF84" s="1680"/>
      <c r="AG84" s="539"/>
      <c r="AH84" s="540"/>
      <c r="AI84" s="540"/>
      <c r="AJ84" s="540"/>
      <c r="AK84" s="1487"/>
      <c r="AL84" s="540"/>
      <c r="AM84" s="1096"/>
      <c r="AN84" s="1255"/>
      <c r="AO84" s="1255"/>
      <c r="AP84" s="1255"/>
      <c r="AQ84" s="1255"/>
      <c r="AR84" s="1255"/>
      <c r="AS84" s="1255"/>
      <c r="AT84" s="1255"/>
      <c r="AU84" s="1255"/>
      <c r="AV84" s="2868"/>
      <c r="AW84" s="3636"/>
      <c r="AX84" s="46"/>
      <c r="AY84" s="46"/>
      <c r="AZ84" s="1645" t="s">
        <v>774</v>
      </c>
      <c r="BA84" s="1384" t="s">
        <v>673</v>
      </c>
      <c r="BB84" s="1385" t="s">
        <v>674</v>
      </c>
      <c r="BC84" s="1384" t="s">
        <v>675</v>
      </c>
      <c r="BD84" s="1386">
        <v>65</v>
      </c>
      <c r="BE84" s="1386">
        <v>70</v>
      </c>
      <c r="BF84" s="2928">
        <f t="shared" si="50"/>
        <v>67.5</v>
      </c>
      <c r="BG84" s="1382" t="s">
        <v>676</v>
      </c>
      <c r="BH84" s="2930">
        <f t="shared" si="48"/>
        <v>18.888888888888886</v>
      </c>
      <c r="BI84" s="2930">
        <f t="shared" si="49"/>
        <v>21.111111111111114</v>
      </c>
      <c r="BJ84" s="1393">
        <v>66</v>
      </c>
      <c r="BK84" s="1394">
        <v>70</v>
      </c>
      <c r="BL84" s="2191"/>
    </row>
    <row r="85" spans="1:64" ht="15" customHeight="1">
      <c r="A85" s="2521"/>
      <c r="B85" s="29"/>
      <c r="C85" s="29"/>
      <c r="D85" s="29"/>
      <c r="E85" s="29"/>
      <c r="F85" s="29"/>
      <c r="G85" s="29"/>
      <c r="H85" s="29"/>
      <c r="I85" s="29"/>
      <c r="J85" s="29"/>
      <c r="K85" s="29"/>
      <c r="L85" s="29"/>
      <c r="M85" s="29"/>
      <c r="N85" s="29"/>
      <c r="O85" s="29"/>
      <c r="P85" s="2499" t="s">
        <v>181</v>
      </c>
      <c r="Q85" s="2497" t="s">
        <v>1668</v>
      </c>
      <c r="R85" s="2497" t="s">
        <v>1667</v>
      </c>
      <c r="S85" s="2497" t="s">
        <v>1669</v>
      </c>
      <c r="T85" s="2499" t="s">
        <v>1670</v>
      </c>
      <c r="U85" s="2709">
        <v>17</v>
      </c>
      <c r="V85" s="2712">
        <v>0.95599999999999996</v>
      </c>
      <c r="W85" s="539"/>
      <c r="X85" s="539"/>
      <c r="Y85" s="539"/>
      <c r="Z85" s="539"/>
      <c r="AA85" s="539"/>
      <c r="AB85" s="539"/>
      <c r="AC85" s="539"/>
      <c r="AD85" s="539"/>
      <c r="AE85" s="539"/>
      <c r="AF85" s="1680"/>
      <c r="AG85" s="539"/>
      <c r="AH85" s="540"/>
      <c r="AI85" s="540"/>
      <c r="AJ85" s="540"/>
      <c r="AK85" s="1487"/>
      <c r="AL85" s="540"/>
      <c r="AM85" s="1096"/>
      <c r="AN85" s="1255"/>
      <c r="AO85" s="1255"/>
      <c r="AP85" s="1255"/>
      <c r="AQ85" s="1255"/>
      <c r="AR85" s="1255"/>
      <c r="AS85" s="1255"/>
      <c r="AT85" s="1255"/>
      <c r="AU85" s="1255"/>
      <c r="AV85" s="2868"/>
      <c r="AW85" s="1255"/>
      <c r="AX85" s="46"/>
      <c r="AY85" s="46"/>
      <c r="AZ85" s="1698" t="s">
        <v>775</v>
      </c>
      <c r="BA85" s="1384" t="s">
        <v>690</v>
      </c>
      <c r="BB85" s="1385" t="s">
        <v>674</v>
      </c>
      <c r="BC85" s="1384" t="s">
        <v>686</v>
      </c>
      <c r="BD85" s="1386">
        <v>73</v>
      </c>
      <c r="BE85" s="1386">
        <v>77</v>
      </c>
      <c r="BF85" s="2928">
        <f t="shared" si="50"/>
        <v>75</v>
      </c>
      <c r="BG85" s="1397">
        <v>9</v>
      </c>
      <c r="BH85" s="2930">
        <f t="shared" si="48"/>
        <v>18.333333333333336</v>
      </c>
      <c r="BI85" s="2930">
        <f t="shared" si="49"/>
        <v>21.111111111111114</v>
      </c>
      <c r="BJ85" s="1393">
        <v>65</v>
      </c>
      <c r="BK85" s="1394">
        <v>70</v>
      </c>
      <c r="BL85" s="2191"/>
    </row>
    <row r="86" spans="1:64" ht="15" customHeight="1">
      <c r="A86" s="2521"/>
      <c r="B86" s="29"/>
      <c r="C86" s="29"/>
      <c r="D86" s="29"/>
      <c r="E86" s="29"/>
      <c r="F86" s="29"/>
      <c r="G86" s="29"/>
      <c r="H86" s="29"/>
      <c r="I86" s="29"/>
      <c r="J86" s="29"/>
      <c r="K86" s="29"/>
      <c r="L86" s="29"/>
      <c r="M86" s="29"/>
      <c r="N86" s="29"/>
      <c r="O86" s="29"/>
      <c r="P86" s="1520">
        <v>15</v>
      </c>
      <c r="Q86" s="1521">
        <f>S86*(5/6)</f>
        <v>3.3021609341152853</v>
      </c>
      <c r="R86" s="1526">
        <f>Q86*8</f>
        <v>26.417287472922283</v>
      </c>
      <c r="S86" s="1521">
        <f>P86/3.7854</f>
        <v>3.962593120938342</v>
      </c>
      <c r="T86" s="2500">
        <f>S86*8</f>
        <v>31.700744967506736</v>
      </c>
      <c r="U86" s="2709">
        <f>(U85+U87)/2</f>
        <v>17.5</v>
      </c>
      <c r="V86" s="2709">
        <f>(V85+V87)/2</f>
        <v>0.94199999999999995</v>
      </c>
      <c r="W86" s="539"/>
      <c r="X86" s="539"/>
      <c r="Y86" s="539"/>
      <c r="Z86" s="539"/>
      <c r="AA86" s="539"/>
      <c r="AB86" s="539"/>
      <c r="AC86" s="539"/>
      <c r="AD86" s="539"/>
      <c r="AE86" s="539"/>
      <c r="AF86" s="1680"/>
      <c r="AG86" s="539"/>
      <c r="AH86" s="540"/>
      <c r="AI86" s="540"/>
      <c r="AJ86" s="540"/>
      <c r="AK86" s="1487"/>
      <c r="AL86" s="540"/>
      <c r="AM86" s="1096"/>
      <c r="AN86" s="1692"/>
      <c r="AO86" s="1692"/>
      <c r="AP86" s="1692"/>
      <c r="AQ86" s="1692"/>
      <c r="AR86" s="1692"/>
      <c r="AS86" s="1692"/>
      <c r="AT86" s="1692"/>
      <c r="AU86" s="1692"/>
      <c r="AV86" s="1692"/>
      <c r="AW86" s="1692"/>
      <c r="AX86" s="46"/>
      <c r="AY86" s="46"/>
      <c r="AZ86" s="1698" t="s">
        <v>809</v>
      </c>
      <c r="BA86" s="1384" t="s">
        <v>690</v>
      </c>
      <c r="BB86" s="1385" t="s">
        <v>674</v>
      </c>
      <c r="BC86" s="1384" t="s">
        <v>719</v>
      </c>
      <c r="BD86" s="1386">
        <v>74</v>
      </c>
      <c r="BE86" s="1386">
        <v>79</v>
      </c>
      <c r="BF86" s="2928">
        <f t="shared" si="50"/>
        <v>76.5</v>
      </c>
      <c r="BG86" s="1397">
        <v>12</v>
      </c>
      <c r="BH86" s="2930">
        <f t="shared" si="48"/>
        <v>15</v>
      </c>
      <c r="BI86" s="2930">
        <f t="shared" si="49"/>
        <v>20</v>
      </c>
      <c r="BJ86" s="1387">
        <v>59</v>
      </c>
      <c r="BK86" s="1387">
        <v>68</v>
      </c>
      <c r="BL86" s="2191"/>
    </row>
    <row r="87" spans="1:64" ht="15" customHeight="1">
      <c r="A87" s="2521"/>
      <c r="B87" s="29"/>
      <c r="C87" s="29"/>
      <c r="D87" s="29"/>
      <c r="E87" s="29"/>
      <c r="F87" s="29"/>
      <c r="G87" s="29"/>
      <c r="H87" s="29"/>
      <c r="I87" s="29"/>
      <c r="J87" s="29"/>
      <c r="K87" s="29"/>
      <c r="L87" s="29"/>
      <c r="M87" s="29"/>
      <c r="N87" s="29"/>
      <c r="O87" s="29"/>
      <c r="P87" s="1332"/>
      <c r="Q87" s="1332"/>
      <c r="R87" s="504"/>
      <c r="S87" s="504"/>
      <c r="T87" s="1683"/>
      <c r="U87" s="2709">
        <v>18</v>
      </c>
      <c r="V87" s="2712">
        <v>0.92800000000000005</v>
      </c>
      <c r="W87" s="539"/>
      <c r="X87" s="539"/>
      <c r="Y87" s="539"/>
      <c r="Z87" s="539"/>
      <c r="AA87" s="539"/>
      <c r="AB87" s="1679"/>
      <c r="AC87" s="1679"/>
      <c r="AD87" s="1679"/>
      <c r="AE87" s="1679"/>
      <c r="AF87" s="1680"/>
      <c r="AG87" s="539"/>
      <c r="AH87" s="540"/>
      <c r="AI87" s="540"/>
      <c r="AJ87" s="540"/>
      <c r="AK87" s="1487"/>
      <c r="AL87" s="540"/>
      <c r="AM87" s="1096"/>
      <c r="AN87" s="1692"/>
      <c r="AO87" s="1692"/>
      <c r="AP87" s="1692"/>
      <c r="AQ87" s="1692"/>
      <c r="AR87" s="1692"/>
      <c r="AS87" s="1692"/>
      <c r="AT87" s="1692"/>
      <c r="AU87" s="1692"/>
      <c r="AV87" s="1692"/>
      <c r="AW87" s="1692"/>
      <c r="AX87" s="46"/>
      <c r="AY87" s="46"/>
      <c r="AZ87" s="1645" t="s">
        <v>810</v>
      </c>
      <c r="BA87" s="1384" t="s">
        <v>690</v>
      </c>
      <c r="BB87" s="1385" t="s">
        <v>674</v>
      </c>
      <c r="BC87" s="1384" t="s">
        <v>686</v>
      </c>
      <c r="BD87" s="1386">
        <v>72</v>
      </c>
      <c r="BE87" s="1386">
        <v>76</v>
      </c>
      <c r="BF87" s="2928">
        <f t="shared" si="50"/>
        <v>74</v>
      </c>
      <c r="BG87" s="1397">
        <v>12</v>
      </c>
      <c r="BH87" s="2930">
        <f t="shared" si="48"/>
        <v>18.333333333333336</v>
      </c>
      <c r="BI87" s="2930">
        <f t="shared" si="49"/>
        <v>20</v>
      </c>
      <c r="BJ87" s="1387">
        <v>65</v>
      </c>
      <c r="BK87" s="1387">
        <v>68</v>
      </c>
      <c r="BL87" s="2191"/>
    </row>
    <row r="88" spans="1:64" ht="15" customHeight="1">
      <c r="A88" s="2521"/>
      <c r="B88" s="29"/>
      <c r="C88" s="29"/>
      <c r="D88" s="29"/>
      <c r="E88" s="29"/>
      <c r="F88" s="29"/>
      <c r="G88" s="29"/>
      <c r="H88" s="29"/>
      <c r="I88" s="29"/>
      <c r="J88" s="29"/>
      <c r="K88" s="29"/>
      <c r="L88" s="29"/>
      <c r="M88" s="29"/>
      <c r="N88" s="29"/>
      <c r="O88" s="29"/>
      <c r="P88" s="258" t="s">
        <v>1666</v>
      </c>
      <c r="Q88" s="258" t="s">
        <v>1665</v>
      </c>
      <c r="R88" s="258" t="s">
        <v>181</v>
      </c>
      <c r="S88" s="504"/>
      <c r="T88" s="1683"/>
      <c r="U88" s="2709">
        <f>(U87+U89)/2</f>
        <v>18.5</v>
      </c>
      <c r="V88" s="2709">
        <f>(V87+V89)/2</f>
        <v>0.91500000000000004</v>
      </c>
      <c r="W88" s="539"/>
      <c r="X88" s="539"/>
      <c r="Y88" s="539"/>
      <c r="Z88" s="539"/>
      <c r="AA88" s="539"/>
      <c r="AB88" s="1679"/>
      <c r="AC88" s="1679"/>
      <c r="AD88" s="1679"/>
      <c r="AE88" s="1679"/>
      <c r="AF88" s="1680"/>
      <c r="AG88" s="539"/>
      <c r="AH88" s="540"/>
      <c r="AI88" s="540"/>
      <c r="AJ88" s="540"/>
      <c r="AK88" s="1487"/>
      <c r="AL88" s="540"/>
      <c r="AM88" s="1096"/>
      <c r="AN88" s="1692"/>
      <c r="AO88" s="1692"/>
      <c r="AP88" s="1692"/>
      <c r="AQ88" s="1692"/>
      <c r="AR88" s="1692"/>
      <c r="AS88" s="1692"/>
      <c r="AT88" s="1692"/>
      <c r="AU88" s="1692"/>
      <c r="AV88" s="1692"/>
      <c r="AW88" s="1692"/>
      <c r="AX88" s="46"/>
      <c r="AY88" s="46"/>
      <c r="AZ88" s="1697" t="s">
        <v>811</v>
      </c>
      <c r="BA88" s="1392" t="s">
        <v>681</v>
      </c>
      <c r="BB88" s="1385" t="s">
        <v>674</v>
      </c>
      <c r="BC88" s="1384" t="s">
        <v>678</v>
      </c>
      <c r="BD88" s="1406">
        <v>68</v>
      </c>
      <c r="BE88" s="1386">
        <v>75</v>
      </c>
      <c r="BF88" s="2928">
        <f t="shared" si="50"/>
        <v>71.5</v>
      </c>
      <c r="BG88" s="1397" t="s">
        <v>684</v>
      </c>
      <c r="BH88" s="2930">
        <f t="shared" si="48"/>
        <v>17.777777777777779</v>
      </c>
      <c r="BI88" s="2930">
        <f t="shared" si="49"/>
        <v>22.222222222222221</v>
      </c>
      <c r="BJ88" s="1387">
        <v>64</v>
      </c>
      <c r="BK88" s="1387">
        <v>72</v>
      </c>
      <c r="BL88" s="2191"/>
    </row>
    <row r="89" spans="1:64" ht="15" customHeight="1">
      <c r="A89" s="2521"/>
      <c r="B89" s="29"/>
      <c r="C89" s="29"/>
      <c r="D89" s="29"/>
      <c r="E89" s="29"/>
      <c r="F89" s="29"/>
      <c r="G89" s="29"/>
      <c r="H89" s="29"/>
      <c r="I89" s="29"/>
      <c r="J89" s="29"/>
      <c r="K89" s="29"/>
      <c r="L89" s="29"/>
      <c r="M89" s="29"/>
      <c r="N89" s="29"/>
      <c r="O89" s="29"/>
      <c r="P89" s="261">
        <v>40</v>
      </c>
      <c r="Q89" s="260">
        <f>P89*(6/5)</f>
        <v>48</v>
      </c>
      <c r="R89" s="260">
        <f>3.7854*Q89/8</f>
        <v>22.712400000000002</v>
      </c>
      <c r="S89" s="504"/>
      <c r="T89" s="1683"/>
      <c r="U89" s="2709">
        <v>19</v>
      </c>
      <c r="V89" s="2712">
        <v>0.90200000000000002</v>
      </c>
      <c r="W89" s="539"/>
      <c r="X89" s="539"/>
      <c r="Y89" s="539"/>
      <c r="Z89" s="539"/>
      <c r="AA89" s="539"/>
      <c r="AB89" s="1679"/>
      <c r="AC89" s="1679"/>
      <c r="AD89" s="1679"/>
      <c r="AE89" s="1679"/>
      <c r="AF89" s="1680"/>
      <c r="AG89" s="539"/>
      <c r="AH89" s="540"/>
      <c r="AI89" s="540"/>
      <c r="AJ89" s="540"/>
      <c r="AK89" s="1487"/>
      <c r="AL89" s="540"/>
      <c r="AM89" s="1096"/>
      <c r="AN89" s="1692"/>
      <c r="AO89" s="1692"/>
      <c r="AP89" s="1692"/>
      <c r="AQ89" s="1692"/>
      <c r="AR89" s="1692"/>
      <c r="AS89" s="1692"/>
      <c r="AT89" s="1692"/>
      <c r="AU89" s="1692"/>
      <c r="AV89" s="1692"/>
      <c r="AW89" s="1692"/>
      <c r="AX89" s="46"/>
      <c r="AY89" s="46"/>
      <c r="AZ89" s="1697" t="s">
        <v>812</v>
      </c>
      <c r="BA89" s="1384" t="s">
        <v>690</v>
      </c>
      <c r="BB89" s="1385" t="s">
        <v>674</v>
      </c>
      <c r="BC89" s="1384" t="s">
        <v>686</v>
      </c>
      <c r="BD89" s="1386">
        <v>77</v>
      </c>
      <c r="BE89" s="1386">
        <v>83</v>
      </c>
      <c r="BF89" s="2928">
        <f t="shared" si="50"/>
        <v>80</v>
      </c>
      <c r="BG89" s="1397">
        <v>12</v>
      </c>
      <c r="BH89" s="2930">
        <f t="shared" si="48"/>
        <v>18.888888888888886</v>
      </c>
      <c r="BI89" s="2930">
        <f t="shared" si="49"/>
        <v>21.111111111111114</v>
      </c>
      <c r="BJ89" s="1387">
        <v>66</v>
      </c>
      <c r="BK89" s="1387">
        <v>70</v>
      </c>
      <c r="BL89" s="2191"/>
    </row>
    <row r="90" spans="1:64" ht="15" customHeight="1">
      <c r="A90" s="2521"/>
      <c r="B90" s="29"/>
      <c r="C90" s="29"/>
      <c r="D90" s="29"/>
      <c r="E90" s="29"/>
      <c r="F90" s="29"/>
      <c r="G90" s="29"/>
      <c r="H90" s="29"/>
      <c r="I90" s="29"/>
      <c r="J90" s="29"/>
      <c r="K90" s="29"/>
      <c r="L90" s="29"/>
      <c r="M90" s="29"/>
      <c r="N90" s="29"/>
      <c r="O90" s="29"/>
      <c r="P90" s="1254"/>
      <c r="Q90" s="29"/>
      <c r="R90" s="1254"/>
      <c r="S90" s="504"/>
      <c r="T90" s="1683"/>
      <c r="U90" s="2709">
        <f>(U89+U91)/2</f>
        <v>19.5</v>
      </c>
      <c r="V90" s="2709">
        <f>(V89+V91)/2</f>
        <v>0.88949999999999996</v>
      </c>
      <c r="W90" s="539"/>
      <c r="X90" s="539"/>
      <c r="Y90" s="539"/>
      <c r="Z90" s="539"/>
      <c r="AA90" s="539"/>
      <c r="AB90" s="1679"/>
      <c r="AC90" s="1679"/>
      <c r="AD90" s="1679"/>
      <c r="AE90" s="1679"/>
      <c r="AF90" s="1680"/>
      <c r="AG90" s="539"/>
      <c r="AH90" s="540"/>
      <c r="AI90" s="540"/>
      <c r="AJ90" s="540"/>
      <c r="AK90" s="1487"/>
      <c r="AL90" s="540"/>
      <c r="AM90" s="1096"/>
      <c r="AN90" s="1692"/>
      <c r="AO90" s="1692"/>
      <c r="AP90" s="1692"/>
      <c r="AQ90" s="1692"/>
      <c r="AR90" s="1692"/>
      <c r="AS90" s="1692"/>
      <c r="AT90" s="1692"/>
      <c r="AU90" s="1692"/>
      <c r="AV90" s="1692"/>
      <c r="AW90" s="1692"/>
      <c r="AX90" s="46"/>
      <c r="AY90" s="46"/>
      <c r="AZ90" s="1698" t="s">
        <v>813</v>
      </c>
      <c r="BA90" s="1384" t="s">
        <v>690</v>
      </c>
      <c r="BB90" s="1385" t="s">
        <v>674</v>
      </c>
      <c r="BC90" s="1384" t="s">
        <v>678</v>
      </c>
      <c r="BD90" s="1386">
        <v>71</v>
      </c>
      <c r="BE90" s="1386">
        <v>75</v>
      </c>
      <c r="BF90" s="2928">
        <f t="shared" si="50"/>
        <v>73</v>
      </c>
      <c r="BG90" s="1397">
        <v>9</v>
      </c>
      <c r="BH90" s="2930">
        <f t="shared" si="48"/>
        <v>18.333333333333336</v>
      </c>
      <c r="BI90" s="2930">
        <f t="shared" si="49"/>
        <v>21.111111111111114</v>
      </c>
      <c r="BJ90" s="1387">
        <v>65</v>
      </c>
      <c r="BK90" s="1387">
        <v>70</v>
      </c>
      <c r="BL90" s="2191"/>
    </row>
    <row r="91" spans="1:64" ht="15" customHeight="1">
      <c r="A91" s="2521"/>
      <c r="B91" s="29"/>
      <c r="C91" s="29"/>
      <c r="D91" s="29"/>
      <c r="E91" s="29"/>
      <c r="F91" s="29"/>
      <c r="G91" s="29"/>
      <c r="H91" s="29"/>
      <c r="I91" s="29"/>
      <c r="J91" s="29"/>
      <c r="K91" s="29"/>
      <c r="L91" s="29"/>
      <c r="M91" s="29"/>
      <c r="N91" s="29"/>
      <c r="O91" s="29"/>
      <c r="P91" s="258" t="s">
        <v>1665</v>
      </c>
      <c r="Q91" s="258" t="s">
        <v>1666</v>
      </c>
      <c r="R91" s="258" t="s">
        <v>181</v>
      </c>
      <c r="S91" s="504"/>
      <c r="T91" s="1683"/>
      <c r="U91" s="2709">
        <v>20</v>
      </c>
      <c r="V91" s="2712">
        <v>0.877</v>
      </c>
      <c r="W91" s="539"/>
      <c r="X91" s="539"/>
      <c r="Y91" s="539"/>
      <c r="Z91" s="539"/>
      <c r="AA91" s="539"/>
      <c r="AB91" s="1679"/>
      <c r="AC91" s="1679"/>
      <c r="AD91" s="1679"/>
      <c r="AE91" s="1679"/>
      <c r="AF91" s="1680"/>
      <c r="AG91" s="539"/>
      <c r="AH91" s="540"/>
      <c r="AI91" s="540"/>
      <c r="AJ91" s="540"/>
      <c r="AK91" s="1487"/>
      <c r="AL91" s="540"/>
      <c r="AM91" s="1096"/>
      <c r="AN91" s="1692"/>
      <c r="AO91" s="1692"/>
      <c r="AP91" s="1692"/>
      <c r="AQ91" s="1692"/>
      <c r="AR91" s="1692"/>
      <c r="AS91" s="1692"/>
      <c r="AT91" s="1692"/>
      <c r="AU91" s="1692"/>
      <c r="AV91" s="1692"/>
      <c r="AW91" s="1692"/>
      <c r="AX91" s="46"/>
      <c r="AY91" s="46"/>
      <c r="AZ91" s="1645" t="s">
        <v>814</v>
      </c>
      <c r="BA91" s="1384" t="s">
        <v>690</v>
      </c>
      <c r="BB91" s="1385" t="s">
        <v>674</v>
      </c>
      <c r="BC91" s="1384" t="s">
        <v>686</v>
      </c>
      <c r="BD91" s="1386">
        <v>73</v>
      </c>
      <c r="BE91" s="1386">
        <v>77</v>
      </c>
      <c r="BF91" s="2928">
        <f t="shared" si="50"/>
        <v>75</v>
      </c>
      <c r="BG91" s="1397">
        <v>11</v>
      </c>
      <c r="BH91" s="2930">
        <f t="shared" si="48"/>
        <v>7.7777777777777786</v>
      </c>
      <c r="BI91" s="2930">
        <f t="shared" si="49"/>
        <v>13.333333333333336</v>
      </c>
      <c r="BJ91" s="1387">
        <v>46</v>
      </c>
      <c r="BK91" s="1387">
        <v>56</v>
      </c>
      <c r="BL91" s="2191"/>
    </row>
    <row r="92" spans="1:64" ht="15" customHeight="1">
      <c r="A92" s="2521"/>
      <c r="B92" s="29"/>
      <c r="C92" s="29"/>
      <c r="D92" s="29"/>
      <c r="E92" s="29"/>
      <c r="F92" s="29"/>
      <c r="G92" s="29"/>
      <c r="H92" s="29"/>
      <c r="I92" s="29"/>
      <c r="J92" s="29"/>
      <c r="K92" s="29"/>
      <c r="L92" s="29"/>
      <c r="M92" s="29"/>
      <c r="N92" s="29"/>
      <c r="O92" s="29"/>
      <c r="P92" s="261">
        <v>48</v>
      </c>
      <c r="Q92" s="260">
        <f>P92*(5/6)</f>
        <v>40</v>
      </c>
      <c r="R92" s="260">
        <f>3.7854*P92/8</f>
        <v>22.712400000000002</v>
      </c>
      <c r="S92" s="504"/>
      <c r="T92" s="1683"/>
      <c r="U92" s="2709">
        <f>(U91+U93)/2</f>
        <v>20.5</v>
      </c>
      <c r="V92" s="2709">
        <f>(V91+V93)/2</f>
        <v>0.86450000000000005</v>
      </c>
      <c r="W92" s="539"/>
      <c r="X92" s="539"/>
      <c r="Y92" s="539"/>
      <c r="Z92" s="539"/>
      <c r="AA92" s="539"/>
      <c r="AB92" s="1679"/>
      <c r="AC92" s="1679"/>
      <c r="AD92" s="1679"/>
      <c r="AE92" s="1679"/>
      <c r="AF92" s="1680"/>
      <c r="AG92" s="539"/>
      <c r="AH92" s="540"/>
      <c r="AI92" s="540"/>
      <c r="AJ92" s="540"/>
      <c r="AK92" s="1487"/>
      <c r="AL92" s="540"/>
      <c r="AM92" s="1096"/>
      <c r="AN92" s="1692"/>
      <c r="AO92" s="1692"/>
      <c r="AP92" s="1692"/>
      <c r="AQ92" s="1692"/>
      <c r="AR92" s="1692"/>
      <c r="AS92" s="1692"/>
      <c r="AT92" s="1692"/>
      <c r="AU92" s="1692"/>
      <c r="AV92" s="1692"/>
      <c r="AW92" s="1692"/>
      <c r="AX92" s="46"/>
      <c r="AY92" s="46"/>
      <c r="AZ92" s="1645" t="s">
        <v>815</v>
      </c>
      <c r="BA92" s="1384" t="s">
        <v>673</v>
      </c>
      <c r="BB92" s="1385" t="s">
        <v>674</v>
      </c>
      <c r="BC92" s="1384" t="s">
        <v>675</v>
      </c>
      <c r="BD92" s="1386">
        <v>73</v>
      </c>
      <c r="BE92" s="1386">
        <v>80</v>
      </c>
      <c r="BF92" s="2928">
        <f t="shared" si="50"/>
        <v>76.5</v>
      </c>
      <c r="BG92" s="1382" t="s">
        <v>676</v>
      </c>
      <c r="BH92" s="2930">
        <f t="shared" si="48"/>
        <v>23.333333333333336</v>
      </c>
      <c r="BI92" s="2930">
        <f t="shared" si="49"/>
        <v>35</v>
      </c>
      <c r="BJ92" s="1387">
        <v>74</v>
      </c>
      <c r="BK92" s="1387">
        <v>95</v>
      </c>
      <c r="BL92" s="2191"/>
    </row>
    <row r="93" spans="1:64" ht="15" customHeight="1">
      <c r="A93" s="2521"/>
      <c r="B93" s="29"/>
      <c r="C93" s="29"/>
      <c r="D93" s="29"/>
      <c r="E93" s="29"/>
      <c r="F93" s="29"/>
      <c r="G93" s="29"/>
      <c r="H93" s="29"/>
      <c r="I93" s="29"/>
      <c r="J93" s="29"/>
      <c r="K93" s="29"/>
      <c r="L93" s="1488"/>
      <c r="M93" s="36"/>
      <c r="N93" s="29"/>
      <c r="O93" s="29"/>
      <c r="P93" s="29"/>
      <c r="Q93" s="29"/>
      <c r="R93" s="29"/>
      <c r="S93" s="29"/>
      <c r="T93" s="29"/>
      <c r="U93" s="2709">
        <v>21</v>
      </c>
      <c r="V93" s="2712">
        <v>0.85199999999999998</v>
      </c>
      <c r="W93" s="539"/>
      <c r="X93" s="539"/>
      <c r="Y93" s="539"/>
      <c r="Z93" s="539"/>
      <c r="AA93" s="539"/>
      <c r="AB93" s="1679"/>
      <c r="AC93" s="1679"/>
      <c r="AD93" s="1679"/>
      <c r="AE93" s="1679"/>
      <c r="AF93" s="1680"/>
      <c r="AG93" s="539"/>
      <c r="AH93" s="540"/>
      <c r="AI93" s="540"/>
      <c r="AJ93" s="540"/>
      <c r="AK93" s="1487"/>
      <c r="AL93" s="540"/>
      <c r="AM93" s="1096"/>
      <c r="AN93" s="1692"/>
      <c r="AO93" s="1692"/>
      <c r="AP93" s="1692"/>
      <c r="AQ93" s="1692"/>
      <c r="AR93" s="1692"/>
      <c r="AS93" s="1692"/>
      <c r="AT93" s="1692"/>
      <c r="AU93" s="1692"/>
      <c r="AV93" s="1692"/>
      <c r="AW93" s="1692"/>
      <c r="AX93" s="46"/>
      <c r="AY93" s="46"/>
      <c r="AZ93" s="1645" t="s">
        <v>816</v>
      </c>
      <c r="BA93" s="1384" t="s">
        <v>673</v>
      </c>
      <c r="BB93" s="1385" t="s">
        <v>674</v>
      </c>
      <c r="BC93" s="1384" t="s">
        <v>675</v>
      </c>
      <c r="BD93" s="1386">
        <v>72</v>
      </c>
      <c r="BE93" s="1386">
        <v>78</v>
      </c>
      <c r="BF93" s="2928">
        <f t="shared" si="50"/>
        <v>75</v>
      </c>
      <c r="BG93" s="1382" t="s">
        <v>676</v>
      </c>
      <c r="BH93" s="2930">
        <f t="shared" si="48"/>
        <v>17.222222222222221</v>
      </c>
      <c r="BI93" s="2930">
        <f t="shared" si="49"/>
        <v>24.444444444444443</v>
      </c>
      <c r="BJ93" s="1387">
        <v>63</v>
      </c>
      <c r="BK93" s="1387">
        <v>76</v>
      </c>
      <c r="BL93" s="2191"/>
    </row>
    <row r="94" spans="1:64" ht="15" customHeight="1">
      <c r="A94" s="2521"/>
      <c r="B94" s="3242" t="s">
        <v>362</v>
      </c>
      <c r="C94" s="3242"/>
      <c r="D94" s="65"/>
      <c r="E94" s="65"/>
      <c r="F94" s="65"/>
      <c r="G94" s="65"/>
      <c r="H94" s="3431"/>
      <c r="I94" s="3431"/>
      <c r="J94" s="3431"/>
      <c r="K94" s="3431"/>
      <c r="L94" s="1254"/>
      <c r="M94" s="36"/>
      <c r="N94" s="3447"/>
      <c r="O94" s="3447"/>
      <c r="P94" s="3447"/>
      <c r="Q94" s="3447"/>
      <c r="R94" s="3448" t="s">
        <v>257</v>
      </c>
      <c r="S94" s="3448"/>
      <c r="T94" s="3448"/>
      <c r="U94" s="2709">
        <f>(U93+U95)/2</f>
        <v>21.5</v>
      </c>
      <c r="V94" s="2709">
        <f>(V93+V95)/2</f>
        <v>0.83949999999999991</v>
      </c>
      <c r="W94" s="539"/>
      <c r="X94" s="539"/>
      <c r="Y94" s="539"/>
      <c r="Z94" s="539"/>
      <c r="AA94" s="539"/>
      <c r="AB94" s="1679"/>
      <c r="AC94" s="1679"/>
      <c r="AD94" s="1679"/>
      <c r="AE94" s="1679"/>
      <c r="AF94" s="1680"/>
      <c r="AG94" s="539"/>
      <c r="AH94" s="540"/>
      <c r="AI94" s="540"/>
      <c r="AJ94" s="540"/>
      <c r="AK94" s="1487"/>
      <c r="AL94" s="540"/>
      <c r="AM94" s="1096"/>
      <c r="AN94" s="1692"/>
      <c r="AO94" s="1692"/>
      <c r="AP94" s="1692"/>
      <c r="AQ94" s="1692"/>
      <c r="AR94" s="1692"/>
      <c r="AS94" s="1692"/>
      <c r="AT94" s="1692"/>
      <c r="AU94" s="1692"/>
      <c r="AV94" s="1692"/>
      <c r="AW94" s="1692"/>
      <c r="AX94" s="46"/>
      <c r="AY94" s="1664"/>
      <c r="AZ94" s="1645" t="s">
        <v>817</v>
      </c>
      <c r="BA94" s="1384" t="s">
        <v>673</v>
      </c>
      <c r="BB94" s="1385" t="s">
        <v>674</v>
      </c>
      <c r="BC94" s="1384" t="s">
        <v>675</v>
      </c>
      <c r="BD94" s="1386">
        <v>70</v>
      </c>
      <c r="BE94" s="1386">
        <v>76</v>
      </c>
      <c r="BF94" s="2928">
        <f t="shared" si="50"/>
        <v>73</v>
      </c>
      <c r="BG94" s="1382" t="s">
        <v>688</v>
      </c>
      <c r="BH94" s="2930">
        <f t="shared" si="48"/>
        <v>17.222222222222221</v>
      </c>
      <c r="BI94" s="2930">
        <f t="shared" si="49"/>
        <v>22.777777777777779</v>
      </c>
      <c r="BJ94" s="1393">
        <v>63</v>
      </c>
      <c r="BK94" s="1394">
        <v>73</v>
      </c>
      <c r="BL94" s="2191"/>
    </row>
    <row r="95" spans="1:64" ht="15" customHeight="1">
      <c r="A95" s="2521"/>
      <c r="B95" s="3242"/>
      <c r="C95" s="3242"/>
      <c r="D95" s="2521"/>
      <c r="E95" s="2521"/>
      <c r="F95" s="2521"/>
      <c r="G95" s="2521"/>
      <c r="H95" s="3431"/>
      <c r="I95" s="3431"/>
      <c r="J95" s="3431"/>
      <c r="K95" s="3431"/>
      <c r="L95" s="1254"/>
      <c r="M95" s="36"/>
      <c r="N95" s="3449" t="s">
        <v>138</v>
      </c>
      <c r="O95" s="3449"/>
      <c r="P95" s="3449"/>
      <c r="Q95" s="3449"/>
      <c r="R95" s="3199" t="s">
        <v>155</v>
      </c>
      <c r="S95" s="3199"/>
      <c r="T95" s="3199"/>
      <c r="U95" s="2709">
        <v>22</v>
      </c>
      <c r="V95" s="2712">
        <v>0.82699999999999996</v>
      </c>
      <c r="W95" s="539"/>
      <c r="X95" s="539"/>
      <c r="Y95" s="539"/>
      <c r="Z95" s="539"/>
      <c r="AA95" s="539"/>
      <c r="AB95" s="1679"/>
      <c r="AC95" s="1679"/>
      <c r="AD95" s="1679"/>
      <c r="AE95" s="1679"/>
      <c r="AF95" s="1680"/>
      <c r="AG95" s="539"/>
      <c r="AH95" s="540"/>
      <c r="AI95" s="540"/>
      <c r="AJ95" s="540"/>
      <c r="AK95" s="1487"/>
      <c r="AL95" s="540"/>
      <c r="AM95" s="1096"/>
      <c r="AN95" s="1692"/>
      <c r="AO95" s="1692"/>
      <c r="AP95" s="1692"/>
      <c r="AQ95" s="1692"/>
      <c r="AR95" s="1692"/>
      <c r="AS95" s="1692"/>
      <c r="AT95" s="1692"/>
      <c r="AU95" s="1692"/>
      <c r="AV95" s="1692"/>
      <c r="AW95" s="1692"/>
      <c r="AX95" s="46"/>
      <c r="AY95" s="1684"/>
      <c r="AZ95" s="1645" t="s">
        <v>818</v>
      </c>
      <c r="BA95" s="1384" t="s">
        <v>673</v>
      </c>
      <c r="BB95" s="1385" t="s">
        <v>674</v>
      </c>
      <c r="BC95" s="1384" t="s">
        <v>675</v>
      </c>
      <c r="BD95" s="1386">
        <v>74</v>
      </c>
      <c r="BE95" s="1386">
        <v>79</v>
      </c>
      <c r="BF95" s="2928">
        <f t="shared" si="50"/>
        <v>76.5</v>
      </c>
      <c r="BG95" s="1382" t="s">
        <v>676</v>
      </c>
      <c r="BH95" s="2930">
        <f t="shared" si="48"/>
        <v>18.333333333333336</v>
      </c>
      <c r="BI95" s="2930">
        <f t="shared" si="49"/>
        <v>25</v>
      </c>
      <c r="BJ95" s="1387">
        <v>65</v>
      </c>
      <c r="BK95" s="1387">
        <v>77</v>
      </c>
      <c r="BL95" s="2191"/>
    </row>
    <row r="96" spans="1:64" ht="15" customHeight="1">
      <c r="A96" s="2521"/>
      <c r="B96" s="3242"/>
      <c r="C96" s="3242"/>
      <c r="D96" s="2521"/>
      <c r="E96" s="2521"/>
      <c r="F96" s="2521"/>
      <c r="G96" s="2521"/>
      <c r="H96" s="3431"/>
      <c r="I96" s="3431"/>
      <c r="J96" s="3431"/>
      <c r="K96" s="3431"/>
      <c r="L96" s="1254"/>
      <c r="M96" s="36"/>
      <c r="N96" s="3432" t="s">
        <v>189</v>
      </c>
      <c r="O96" s="3432"/>
      <c r="P96" s="3432"/>
      <c r="Q96" s="3432"/>
      <c r="R96" s="3199" t="s">
        <v>190</v>
      </c>
      <c r="S96" s="3199"/>
      <c r="T96" s="3199"/>
      <c r="U96" s="2709">
        <f>(U95+U97)/2</f>
        <v>22.5</v>
      </c>
      <c r="V96" s="2709">
        <f>(V95+V97)/2</f>
        <v>0.8145</v>
      </c>
      <c r="W96" s="539"/>
      <c r="X96" s="539"/>
      <c r="Y96" s="539"/>
      <c r="Z96" s="539"/>
      <c r="AA96" s="539"/>
      <c r="AB96" s="1679"/>
      <c r="AC96" s="1679"/>
      <c r="AD96" s="1679"/>
      <c r="AE96" s="1679"/>
      <c r="AF96" s="1680"/>
      <c r="AG96" s="539"/>
      <c r="AH96" s="540"/>
      <c r="AI96" s="540"/>
      <c r="AJ96" s="540"/>
      <c r="AK96" s="1487"/>
      <c r="AL96" s="540"/>
      <c r="AM96" s="1096"/>
      <c r="AN96" s="1692"/>
      <c r="AO96" s="1692"/>
      <c r="AP96" s="1692"/>
      <c r="AQ96" s="1692"/>
      <c r="AR96" s="1692"/>
      <c r="AS96" s="1692"/>
      <c r="AT96" s="1692"/>
      <c r="AU96" s="1692"/>
      <c r="AV96" s="1692"/>
      <c r="AW96" s="1692"/>
      <c r="AX96" s="46"/>
      <c r="AY96" s="1684"/>
      <c r="AZ96" s="1645" t="s">
        <v>819</v>
      </c>
      <c r="BA96" s="1384" t="s">
        <v>690</v>
      </c>
      <c r="BB96" s="1385" t="s">
        <v>674</v>
      </c>
      <c r="BC96" s="1384" t="s">
        <v>670</v>
      </c>
      <c r="BD96" s="1386">
        <v>70</v>
      </c>
      <c r="BE96" s="1386">
        <v>76</v>
      </c>
      <c r="BF96" s="2928">
        <f t="shared" si="50"/>
        <v>73</v>
      </c>
      <c r="BG96" s="1397">
        <v>10</v>
      </c>
      <c r="BH96" s="2930">
        <f t="shared" si="48"/>
        <v>7.7777777777777786</v>
      </c>
      <c r="BI96" s="2930">
        <f t="shared" si="49"/>
        <v>13.333333333333336</v>
      </c>
      <c r="BJ96" s="1387">
        <v>46</v>
      </c>
      <c r="BK96" s="1387">
        <v>56</v>
      </c>
      <c r="BL96" s="2191"/>
    </row>
    <row r="97" spans="1:64" ht="15" customHeight="1">
      <c r="A97" s="2521"/>
      <c r="B97" s="2521"/>
      <c r="C97" s="2521"/>
      <c r="D97" s="2521"/>
      <c r="E97" s="2521"/>
      <c r="F97" s="2521"/>
      <c r="G97" s="2521"/>
      <c r="H97" s="3431"/>
      <c r="I97" s="3431"/>
      <c r="J97" s="3431"/>
      <c r="K97" s="3431"/>
      <c r="L97" s="1254"/>
      <c r="M97" s="36"/>
      <c r="N97" s="3432" t="s">
        <v>375</v>
      </c>
      <c r="O97" s="3432"/>
      <c r="P97" s="3432"/>
      <c r="Q97" s="3432"/>
      <c r="R97" s="3249" t="s">
        <v>376</v>
      </c>
      <c r="S97" s="3249"/>
      <c r="T97" s="3249"/>
      <c r="U97" s="2709">
        <v>23</v>
      </c>
      <c r="V97" s="2712">
        <v>0.80200000000000005</v>
      </c>
      <c r="W97" s="539"/>
      <c r="X97" s="539"/>
      <c r="Y97" s="539"/>
      <c r="Z97" s="539"/>
      <c r="AA97" s="539"/>
      <c r="AB97" s="1679"/>
      <c r="AC97" s="1679"/>
      <c r="AD97" s="1679"/>
      <c r="AE97" s="1679"/>
      <c r="AF97" s="1680"/>
      <c r="AG97" s="539"/>
      <c r="AH97" s="540"/>
      <c r="AI97" s="540"/>
      <c r="AJ97" s="540"/>
      <c r="AK97" s="1487"/>
      <c r="AL97" s="540"/>
      <c r="AM97" s="1096"/>
      <c r="AN97" s="1692"/>
      <c r="AO97" s="1692"/>
      <c r="AP97" s="1692"/>
      <c r="AQ97" s="1692"/>
      <c r="AR97" s="1692"/>
      <c r="AS97" s="1692"/>
      <c r="AT97" s="1692"/>
      <c r="AU97" s="1692"/>
      <c r="AV97" s="1692"/>
      <c r="AW97" s="1692"/>
      <c r="AX97" s="46"/>
      <c r="AY97" s="1684"/>
      <c r="AZ97" s="1645" t="s">
        <v>820</v>
      </c>
      <c r="BA97" s="1384" t="s">
        <v>673</v>
      </c>
      <c r="BB97" s="1385" t="s">
        <v>674</v>
      </c>
      <c r="BC97" s="1384" t="s">
        <v>170</v>
      </c>
      <c r="BD97" s="1386">
        <v>72</v>
      </c>
      <c r="BE97" s="1386">
        <v>76</v>
      </c>
      <c r="BF97" s="2928">
        <f t="shared" si="50"/>
        <v>74</v>
      </c>
      <c r="BG97" s="1382" t="s">
        <v>676</v>
      </c>
      <c r="BH97" s="2930">
        <f t="shared" si="48"/>
        <v>12.777777777777779</v>
      </c>
      <c r="BI97" s="2930">
        <f t="shared" si="49"/>
        <v>20</v>
      </c>
      <c r="BJ97" s="1387">
        <v>55</v>
      </c>
      <c r="BK97" s="1387">
        <v>68</v>
      </c>
      <c r="BL97" s="2191"/>
    </row>
    <row r="98" spans="1:64" ht="15" customHeight="1">
      <c r="A98" s="2521"/>
      <c r="B98" s="3430" t="s">
        <v>187</v>
      </c>
      <c r="C98" s="3430"/>
      <c r="D98" s="3430"/>
      <c r="E98" s="3430"/>
      <c r="F98" s="3430"/>
      <c r="G98" s="3430"/>
      <c r="H98" s="3431"/>
      <c r="I98" s="3431"/>
      <c r="J98" s="3431"/>
      <c r="K98" s="3431"/>
      <c r="L98" s="1254"/>
      <c r="M98" s="36"/>
      <c r="N98" s="3432" t="s">
        <v>156</v>
      </c>
      <c r="O98" s="3432"/>
      <c r="P98" s="3432"/>
      <c r="Q98" s="3432"/>
      <c r="R98" s="3199" t="s">
        <v>157</v>
      </c>
      <c r="S98" s="3199"/>
      <c r="T98" s="3199"/>
      <c r="U98" s="2709">
        <f>(U97+U99)/2</f>
        <v>23.5</v>
      </c>
      <c r="V98" s="2709">
        <f>(V97+V99)/2</f>
        <v>0.79150000000000009</v>
      </c>
      <c r="W98" s="539"/>
      <c r="X98" s="539"/>
      <c r="Y98" s="539"/>
      <c r="Z98" s="539"/>
      <c r="AA98" s="539"/>
      <c r="AB98" s="1679"/>
      <c r="AC98" s="1679"/>
      <c r="AD98" s="1679"/>
      <c r="AE98" s="1679"/>
      <c r="AF98" s="1680"/>
      <c r="AG98" s="539"/>
      <c r="AH98" s="540"/>
      <c r="AI98" s="540"/>
      <c r="AJ98" s="540"/>
      <c r="AK98" s="1487"/>
      <c r="AL98" s="540"/>
      <c r="AM98" s="1096"/>
      <c r="AN98" s="1692"/>
      <c r="AO98" s="1692"/>
      <c r="AP98" s="1692"/>
      <c r="AQ98" s="1692"/>
      <c r="AR98" s="1692"/>
      <c r="AS98" s="1692"/>
      <c r="AT98" s="1692"/>
      <c r="AU98" s="1692"/>
      <c r="AV98" s="1692"/>
      <c r="AW98" s="1692"/>
      <c r="AX98" s="46"/>
      <c r="AY98" s="1684"/>
      <c r="AZ98" s="1645" t="s">
        <v>821</v>
      </c>
      <c r="BA98" s="1384" t="s">
        <v>673</v>
      </c>
      <c r="BB98" s="1385" t="s">
        <v>674</v>
      </c>
      <c r="BC98" s="1384" t="s">
        <v>686</v>
      </c>
      <c r="BD98" s="1386">
        <v>73</v>
      </c>
      <c r="BE98" s="1386">
        <v>80</v>
      </c>
      <c r="BF98" s="2928">
        <f t="shared" si="50"/>
        <v>76.5</v>
      </c>
      <c r="BG98" s="1382" t="s">
        <v>676</v>
      </c>
      <c r="BH98" s="2930">
        <f t="shared" si="48"/>
        <v>18.333333333333336</v>
      </c>
      <c r="BI98" s="2930">
        <f t="shared" si="49"/>
        <v>21.111111111111114</v>
      </c>
      <c r="BJ98" s="1387">
        <v>65</v>
      </c>
      <c r="BK98" s="1387">
        <v>70</v>
      </c>
      <c r="BL98" s="2191"/>
    </row>
    <row r="99" spans="1:64" ht="12.6" customHeight="1">
      <c r="A99" s="36"/>
      <c r="B99" s="36"/>
      <c r="C99" s="36"/>
      <c r="D99" s="36"/>
      <c r="E99" s="36"/>
      <c r="F99" s="36"/>
      <c r="G99" s="36"/>
      <c r="H99" s="36"/>
      <c r="I99" s="36"/>
      <c r="J99" s="36"/>
      <c r="K99" s="36"/>
      <c r="L99" s="36"/>
      <c r="M99" s="36"/>
      <c r="N99" s="36"/>
      <c r="O99" s="36"/>
      <c r="P99" s="36"/>
      <c r="Q99" s="36"/>
      <c r="R99" s="36"/>
      <c r="S99" s="36"/>
      <c r="T99" s="36"/>
      <c r="U99" s="2709">
        <v>24</v>
      </c>
      <c r="V99" s="2712">
        <v>0.78100000000000003</v>
      </c>
      <c r="W99" s="539"/>
      <c r="X99" s="539"/>
      <c r="Y99" s="539"/>
      <c r="Z99" s="539"/>
      <c r="AA99" s="539"/>
      <c r="AB99" s="1679"/>
      <c r="AC99" s="1679"/>
      <c r="AD99" s="1679"/>
      <c r="AE99" s="1679"/>
      <c r="AF99" s="1680"/>
      <c r="AG99" s="539"/>
      <c r="AH99" s="540"/>
      <c r="AI99" s="540"/>
      <c r="AJ99" s="540"/>
      <c r="AK99" s="1487"/>
      <c r="AL99" s="540"/>
      <c r="AM99" s="1096"/>
      <c r="AN99" s="1692"/>
      <c r="AO99" s="1692"/>
      <c r="AP99" s="1692"/>
      <c r="AQ99" s="1692"/>
      <c r="AR99" s="1692"/>
      <c r="AS99" s="1692"/>
      <c r="AT99" s="1692"/>
      <c r="AU99" s="1692"/>
      <c r="AV99" s="1692"/>
      <c r="AW99" s="1692"/>
      <c r="AX99" s="46"/>
      <c r="AY99" s="46"/>
      <c r="AZ99" s="1645" t="s">
        <v>822</v>
      </c>
      <c r="BA99" s="1384" t="s">
        <v>690</v>
      </c>
      <c r="BB99" s="1385" t="s">
        <v>674</v>
      </c>
      <c r="BC99" s="1384" t="s">
        <v>675</v>
      </c>
      <c r="BD99" s="1386">
        <v>71</v>
      </c>
      <c r="BE99" s="1386">
        <v>75</v>
      </c>
      <c r="BF99" s="2928">
        <f t="shared" si="50"/>
        <v>73</v>
      </c>
      <c r="BG99" s="1397">
        <v>12</v>
      </c>
      <c r="BH99" s="2930">
        <f t="shared" ref="BH99:BI121" si="51">((BJ99+40)*5/9)-40</f>
        <v>18.333333333333336</v>
      </c>
      <c r="BI99" s="2930">
        <f t="shared" si="51"/>
        <v>20.555555555555557</v>
      </c>
      <c r="BJ99" s="1387">
        <v>65</v>
      </c>
      <c r="BK99" s="1387">
        <v>69</v>
      </c>
      <c r="BL99" s="2191"/>
    </row>
    <row r="100" spans="1:64" ht="15" customHeight="1">
      <c r="A100" s="3433" t="s">
        <v>303</v>
      </c>
      <c r="B100" s="3434"/>
      <c r="C100" s="2476"/>
      <c r="D100" s="2476"/>
      <c r="E100" s="2476"/>
      <c r="F100" s="2476"/>
      <c r="G100" s="2476"/>
      <c r="H100" s="2476"/>
      <c r="I100" s="2476"/>
      <c r="J100" s="2476"/>
      <c r="K100" s="2476"/>
      <c r="L100" s="2476"/>
      <c r="M100" s="1762"/>
      <c r="N100" s="1762"/>
      <c r="O100" s="1762"/>
      <c r="P100" s="1762"/>
      <c r="Q100" s="1762"/>
      <c r="R100" s="1762"/>
      <c r="S100" s="1762"/>
      <c r="T100" s="1762"/>
      <c r="U100" s="2709">
        <f>(U99+U101)/2</f>
        <v>24.5</v>
      </c>
      <c r="V100" s="2709">
        <f>(V99+V101)/2</f>
        <v>0.77</v>
      </c>
      <c r="W100" s="1255"/>
      <c r="X100" s="1255"/>
      <c r="Y100" s="1255"/>
      <c r="Z100" s="1255"/>
      <c r="AA100" s="1255"/>
      <c r="AB100" s="1763"/>
      <c r="AC100" s="1763"/>
      <c r="AD100" s="1763"/>
      <c r="AE100" s="1763"/>
      <c r="AF100" s="1764"/>
      <c r="AG100" s="1255"/>
      <c r="AH100" s="1692"/>
      <c r="AI100" s="1692"/>
      <c r="AJ100" s="1692"/>
      <c r="AK100" s="1747"/>
      <c r="AL100" s="1692"/>
      <c r="AM100" s="1765"/>
      <c r="AN100" s="1692"/>
      <c r="AO100" s="1692"/>
      <c r="AP100" s="1692"/>
      <c r="AQ100" s="1692"/>
      <c r="AR100" s="1692"/>
      <c r="AS100" s="1692"/>
      <c r="AT100" s="1692"/>
      <c r="AU100" s="1692"/>
      <c r="AV100" s="1692"/>
      <c r="AW100" s="1692"/>
      <c r="AX100" s="46"/>
      <c r="AY100" s="46"/>
      <c r="AZ100" s="1645" t="s">
        <v>823</v>
      </c>
      <c r="BA100" s="1384" t="s">
        <v>673</v>
      </c>
      <c r="BB100" s="1385" t="s">
        <v>674</v>
      </c>
      <c r="BC100" s="1384" t="s">
        <v>697</v>
      </c>
      <c r="BD100" s="1386">
        <v>63</v>
      </c>
      <c r="BE100" s="1386">
        <v>70</v>
      </c>
      <c r="BF100" s="2928">
        <f t="shared" si="50"/>
        <v>66.5</v>
      </c>
      <c r="BG100" s="1382" t="s">
        <v>676</v>
      </c>
      <c r="BH100" s="2930">
        <f t="shared" si="51"/>
        <v>8.8888888888888857</v>
      </c>
      <c r="BI100" s="2930">
        <f t="shared" si="51"/>
        <v>12.777777777777779</v>
      </c>
      <c r="BJ100" s="1387">
        <v>48</v>
      </c>
      <c r="BK100" s="1387">
        <v>55</v>
      </c>
      <c r="BL100" s="2191"/>
    </row>
    <row r="101" spans="1:64" ht="12.75" customHeight="1">
      <c r="A101" s="20"/>
      <c r="B101" s="20"/>
      <c r="C101" s="1100"/>
      <c r="D101" s="20"/>
      <c r="E101" s="20"/>
      <c r="F101" s="20"/>
      <c r="G101" s="540"/>
      <c r="H101" s="540"/>
      <c r="I101" s="540"/>
      <c r="J101" s="540"/>
      <c r="K101" s="540"/>
      <c r="L101" s="540"/>
      <c r="M101" s="540"/>
      <c r="N101" s="540"/>
      <c r="O101" s="540"/>
      <c r="P101" s="540"/>
      <c r="Q101" s="540"/>
      <c r="R101" s="540"/>
      <c r="S101" s="540"/>
      <c r="T101" s="540"/>
      <c r="U101" s="2709">
        <v>25</v>
      </c>
      <c r="V101" s="2712">
        <v>0.75900000000000001</v>
      </c>
      <c r="W101" s="540"/>
      <c r="X101" s="540"/>
      <c r="Y101" s="540"/>
      <c r="Z101" s="540"/>
      <c r="AA101" s="540"/>
      <c r="AB101" s="540"/>
      <c r="AC101" s="540"/>
      <c r="AD101" s="540"/>
      <c r="AE101" s="540"/>
      <c r="AF101" s="540"/>
      <c r="AG101" s="540"/>
      <c r="AH101" s="540"/>
      <c r="AI101" s="540"/>
      <c r="AJ101" s="540"/>
      <c r="AK101" s="540"/>
      <c r="AL101" s="540"/>
      <c r="AM101" s="540"/>
      <c r="AN101" s="540"/>
      <c r="AO101" s="540"/>
      <c r="AP101" s="540"/>
      <c r="AQ101" s="540"/>
      <c r="AR101" s="540"/>
      <c r="AS101" s="540"/>
      <c r="AT101" s="540"/>
      <c r="AU101" s="540"/>
      <c r="AV101" s="540"/>
      <c r="AW101" s="540"/>
      <c r="AX101" s="46"/>
      <c r="AY101" s="1255"/>
      <c r="AZ101" s="1645" t="s">
        <v>824</v>
      </c>
      <c r="BA101" s="1384" t="s">
        <v>690</v>
      </c>
      <c r="BB101" s="1385" t="s">
        <v>674</v>
      </c>
      <c r="BC101" s="1384" t="s">
        <v>686</v>
      </c>
      <c r="BD101" s="1386">
        <v>73</v>
      </c>
      <c r="BE101" s="1386">
        <v>77</v>
      </c>
      <c r="BF101" s="2928">
        <f t="shared" si="50"/>
        <v>75</v>
      </c>
      <c r="BG101" s="1397">
        <v>10</v>
      </c>
      <c r="BH101" s="2930">
        <f t="shared" si="51"/>
        <v>10</v>
      </c>
      <c r="BI101" s="2930">
        <f t="shared" si="51"/>
        <v>12.777777777777779</v>
      </c>
      <c r="BJ101" s="1387">
        <v>50</v>
      </c>
      <c r="BK101" s="1387">
        <v>55</v>
      </c>
      <c r="BL101" s="2191"/>
    </row>
    <row r="102" spans="1:64" ht="12.75" customHeight="1">
      <c r="A102" s="1748"/>
      <c r="B102" s="1749" t="s">
        <v>972</v>
      </c>
      <c r="C102" s="1750" t="s">
        <v>51</v>
      </c>
      <c r="D102" s="1750" t="s">
        <v>52</v>
      </c>
      <c r="E102" s="1750" t="s">
        <v>53</v>
      </c>
      <c r="F102" s="1751" t="s">
        <v>51</v>
      </c>
      <c r="G102" s="540"/>
      <c r="H102" s="540"/>
      <c r="I102" s="537"/>
      <c r="R102" s="537"/>
      <c r="S102" s="537"/>
      <c r="T102" s="539"/>
      <c r="U102" s="2709">
        <f>(U101+U103)/2</f>
        <v>25.5</v>
      </c>
      <c r="V102" s="2709">
        <f>(V101+V103)/2</f>
        <v>0.74849999999999994</v>
      </c>
      <c r="W102" s="539"/>
      <c r="X102" s="539"/>
      <c r="Y102" s="539"/>
      <c r="Z102" s="539"/>
      <c r="AA102" s="539"/>
      <c r="AB102" s="1679"/>
      <c r="AC102" s="1679"/>
      <c r="AD102" s="1679"/>
      <c r="AE102" s="1679"/>
      <c r="AF102" s="1680"/>
      <c r="AG102" s="539"/>
      <c r="AH102" s="540"/>
      <c r="AI102" s="540"/>
      <c r="AJ102" s="540"/>
      <c r="AK102" s="1487"/>
      <c r="AL102" s="540"/>
      <c r="AM102" s="1651"/>
      <c r="AN102" s="540"/>
      <c r="AO102" s="540"/>
      <c r="AP102" s="540"/>
      <c r="AQ102" s="540"/>
      <c r="AR102" s="540"/>
      <c r="AS102" s="540"/>
      <c r="AT102" s="540"/>
      <c r="AU102" s="540"/>
      <c r="AV102" s="540"/>
      <c r="AW102" s="540"/>
      <c r="AX102" s="46"/>
      <c r="AY102" s="1255"/>
      <c r="AZ102" s="1645" t="s">
        <v>825</v>
      </c>
      <c r="BA102" s="1384" t="s">
        <v>690</v>
      </c>
      <c r="BB102" s="1385" t="s">
        <v>674</v>
      </c>
      <c r="BC102" s="1384" t="s">
        <v>724</v>
      </c>
      <c r="BD102" s="1396" t="s">
        <v>724</v>
      </c>
      <c r="BE102" s="1396" t="s">
        <v>724</v>
      </c>
      <c r="BF102" s="2928" t="e">
        <f t="shared" si="50"/>
        <v>#VALUE!</v>
      </c>
      <c r="BG102" s="1397">
        <v>9</v>
      </c>
      <c r="BH102" s="2930">
        <f t="shared" si="51"/>
        <v>17.222222222222221</v>
      </c>
      <c r="BI102" s="2930">
        <f t="shared" si="51"/>
        <v>23.888888888888886</v>
      </c>
      <c r="BJ102" s="1387">
        <v>63</v>
      </c>
      <c r="BK102" s="1387">
        <v>75</v>
      </c>
      <c r="BL102" s="2191"/>
    </row>
    <row r="103" spans="1:64" ht="12.75" customHeight="1">
      <c r="A103" s="1752"/>
      <c r="B103" s="1753"/>
      <c r="C103" s="1754" t="s">
        <v>213</v>
      </c>
      <c r="D103" s="1754" t="s">
        <v>54</v>
      </c>
      <c r="E103" s="1754" t="s">
        <v>215</v>
      </c>
      <c r="F103" s="1755" t="s">
        <v>1756</v>
      </c>
      <c r="G103" s="540"/>
      <c r="H103" s="540"/>
      <c r="I103" s="540"/>
      <c r="J103" s="540"/>
      <c r="K103" s="539"/>
      <c r="L103" s="1756"/>
      <c r="M103" s="60"/>
      <c r="N103" s="60"/>
      <c r="O103" s="60"/>
      <c r="P103" s="60"/>
      <c r="Q103" s="537"/>
      <c r="R103" s="537"/>
      <c r="S103" s="537"/>
      <c r="T103" s="539"/>
      <c r="U103" s="2709">
        <v>26</v>
      </c>
      <c r="V103" s="2712">
        <v>0.73799999999999999</v>
      </c>
      <c r="W103" s="539"/>
      <c r="X103" s="539"/>
      <c r="Y103" s="539"/>
      <c r="Z103" s="539"/>
      <c r="AA103" s="539"/>
      <c r="AB103" s="1679"/>
      <c r="AC103" s="1679"/>
      <c r="AD103" s="1679"/>
      <c r="AE103" s="1679"/>
      <c r="AF103" s="1680"/>
      <c r="AG103" s="539"/>
      <c r="AH103" s="540"/>
      <c r="AI103" s="540"/>
      <c r="AJ103" s="540"/>
      <c r="AK103" s="1487"/>
      <c r="AL103" s="540"/>
      <c r="AM103" s="1651"/>
      <c r="AN103" s="540"/>
      <c r="AO103" s="540"/>
      <c r="AP103" s="540"/>
      <c r="AQ103" s="540"/>
      <c r="AR103" s="540"/>
      <c r="AS103" s="540"/>
      <c r="AT103" s="540"/>
      <c r="AU103" s="540"/>
      <c r="AV103" s="540"/>
      <c r="AW103" s="540"/>
      <c r="AX103" s="46"/>
      <c r="AY103" s="1255"/>
      <c r="AZ103" s="1698" t="s">
        <v>826</v>
      </c>
      <c r="BA103" s="1384" t="s">
        <v>690</v>
      </c>
      <c r="BB103" s="1385" t="s">
        <v>674</v>
      </c>
      <c r="BC103" s="1384" t="s">
        <v>724</v>
      </c>
      <c r="BD103" s="1396" t="s">
        <v>724</v>
      </c>
      <c r="BE103" s="1396" t="s">
        <v>724</v>
      </c>
      <c r="BF103" s="2928" t="e">
        <f t="shared" si="50"/>
        <v>#VALUE!</v>
      </c>
      <c r="BG103" s="1397" t="s">
        <v>684</v>
      </c>
      <c r="BH103" s="2930">
        <f t="shared" si="51"/>
        <v>20</v>
      </c>
      <c r="BI103" s="2930">
        <f t="shared" si="51"/>
        <v>22.222222222222221</v>
      </c>
      <c r="BJ103" s="1387">
        <v>68</v>
      </c>
      <c r="BK103" s="1387">
        <v>72</v>
      </c>
      <c r="BL103" s="2191"/>
    </row>
    <row r="104" spans="1:64" ht="12.75" customHeight="1">
      <c r="A104" s="3438" t="s">
        <v>330</v>
      </c>
      <c r="B104" s="1489" t="s">
        <v>55</v>
      </c>
      <c r="C104" s="156">
        <f>F104*$C$25/100</f>
        <v>225</v>
      </c>
      <c r="D104" s="1489">
        <v>0.62</v>
      </c>
      <c r="E104" s="156">
        <f>(H$132*I$132)/100</f>
        <v>4.0999999999999996</v>
      </c>
      <c r="F104" s="1490">
        <f>G$132/0.11983</f>
        <v>300</v>
      </c>
      <c r="G104" s="540"/>
      <c r="H104" s="540"/>
      <c r="I104" s="540"/>
      <c r="J104" s="540"/>
      <c r="K104" s="539"/>
      <c r="L104" s="1756"/>
      <c r="M104" s="60"/>
      <c r="N104" s="60"/>
      <c r="O104" s="60"/>
      <c r="P104" s="60"/>
      <c r="R104" s="537"/>
      <c r="S104" s="537"/>
      <c r="T104" s="539"/>
      <c r="U104" s="2709">
        <v>27</v>
      </c>
      <c r="V104" s="2712">
        <v>0.71799999999999997</v>
      </c>
      <c r="W104" s="539"/>
      <c r="X104" s="539"/>
      <c r="Y104" s="539"/>
      <c r="Z104" s="539"/>
      <c r="AA104" s="539"/>
      <c r="AB104" s="1679"/>
      <c r="AC104" s="1679"/>
      <c r="AD104" s="1679"/>
      <c r="AE104" s="1679"/>
      <c r="AF104" s="1680"/>
      <c r="AG104" s="539"/>
      <c r="AH104" s="540"/>
      <c r="AI104" s="540"/>
      <c r="AJ104" s="540"/>
      <c r="AK104" s="1487"/>
      <c r="AL104" s="540"/>
      <c r="AM104" s="1651"/>
      <c r="AN104" s="540"/>
      <c r="AO104" s="540"/>
      <c r="AP104" s="540"/>
      <c r="AQ104" s="540"/>
      <c r="AR104" s="540"/>
      <c r="AS104" s="540"/>
      <c r="AT104" s="540"/>
      <c r="AU104" s="540"/>
      <c r="AV104" s="540"/>
      <c r="AW104" s="540"/>
      <c r="AX104" s="46"/>
      <c r="AY104" s="1255"/>
      <c r="AZ104" s="1645" t="s">
        <v>827</v>
      </c>
      <c r="BA104" s="1384" t="s">
        <v>690</v>
      </c>
      <c r="BB104" s="1385" t="s">
        <v>674</v>
      </c>
      <c r="BC104" s="1384" t="s">
        <v>670</v>
      </c>
      <c r="BD104" s="1386">
        <v>75</v>
      </c>
      <c r="BE104" s="1386">
        <v>78</v>
      </c>
      <c r="BF104" s="2928">
        <f t="shared" si="50"/>
        <v>76.5</v>
      </c>
      <c r="BG104" s="1397">
        <v>12</v>
      </c>
      <c r="BH104" s="2930">
        <f t="shared" si="51"/>
        <v>18.888888888888886</v>
      </c>
      <c r="BI104" s="2930">
        <f t="shared" si="51"/>
        <v>21.111111111111114</v>
      </c>
      <c r="BJ104" s="1387">
        <v>66</v>
      </c>
      <c r="BK104" s="1387">
        <v>70</v>
      </c>
      <c r="BL104" s="2191"/>
    </row>
    <row r="105" spans="1:64" ht="12.75" customHeight="1">
      <c r="A105" s="3439"/>
      <c r="B105" s="1489" t="s">
        <v>74</v>
      </c>
      <c r="C105" s="156">
        <f>F105*$C$25/100</f>
        <v>228.75</v>
      </c>
      <c r="D105" s="1489">
        <v>0.62</v>
      </c>
      <c r="E105" s="156">
        <f>(H$134*I$134)/100</f>
        <v>7.65</v>
      </c>
      <c r="F105" s="1490">
        <f>G$134/0.11983</f>
        <v>305</v>
      </c>
      <c r="G105" s="540"/>
      <c r="H105" s="540"/>
      <c r="I105" s="540"/>
      <c r="J105" s="540"/>
      <c r="K105" s="539"/>
      <c r="L105" s="1756"/>
      <c r="M105" s="60"/>
      <c r="N105" s="60"/>
      <c r="O105" s="60"/>
      <c r="P105" s="60"/>
      <c r="R105" s="537"/>
      <c r="S105" s="537"/>
      <c r="T105" s="539"/>
      <c r="U105" s="2709">
        <v>28</v>
      </c>
      <c r="V105" s="2712">
        <v>0.69899999999999995</v>
      </c>
      <c r="W105" s="539"/>
      <c r="X105" s="539"/>
      <c r="Y105" s="539"/>
      <c r="Z105" s="539"/>
      <c r="AA105" s="539"/>
      <c r="AB105" s="1679"/>
      <c r="AC105" s="1679"/>
      <c r="AD105" s="1679"/>
      <c r="AE105" s="1679"/>
      <c r="AF105" s="1680"/>
      <c r="AG105" s="539"/>
      <c r="AH105" s="540"/>
      <c r="AI105" s="540"/>
      <c r="AJ105" s="540"/>
      <c r="AK105" s="1487"/>
      <c r="AL105" s="540"/>
      <c r="AM105" s="1651"/>
      <c r="AN105" s="540"/>
      <c r="AO105" s="540"/>
      <c r="AP105" s="540"/>
      <c r="AQ105" s="540"/>
      <c r="AR105" s="540"/>
      <c r="AS105" s="540"/>
      <c r="AT105" s="540"/>
      <c r="AU105" s="540"/>
      <c r="AV105" s="540"/>
      <c r="AW105" s="540"/>
      <c r="AX105" s="46"/>
      <c r="AY105" s="1255"/>
      <c r="AZ105" s="1645" t="s">
        <v>828</v>
      </c>
      <c r="BA105" s="1384" t="s">
        <v>690</v>
      </c>
      <c r="BB105" s="1385" t="s">
        <v>674</v>
      </c>
      <c r="BC105" s="1384" t="s">
        <v>691</v>
      </c>
      <c r="BD105" s="1386">
        <v>73</v>
      </c>
      <c r="BE105" s="1386">
        <v>77</v>
      </c>
      <c r="BF105" s="2928">
        <f t="shared" si="50"/>
        <v>75</v>
      </c>
      <c r="BG105" s="1397">
        <v>11</v>
      </c>
      <c r="BH105" s="2930">
        <f t="shared" si="51"/>
        <v>15.555555555555557</v>
      </c>
      <c r="BI105" s="2930">
        <f t="shared" si="51"/>
        <v>22.222222222222221</v>
      </c>
      <c r="BJ105" s="1387">
        <v>60</v>
      </c>
      <c r="BK105" s="1387">
        <v>72</v>
      </c>
      <c r="BL105" s="2191"/>
    </row>
    <row r="106" spans="1:64" ht="12.75" customHeight="1">
      <c r="A106" s="3439"/>
      <c r="B106" s="1489" t="s">
        <v>60</v>
      </c>
      <c r="C106" s="156">
        <f>F106*$C$25/100</f>
        <v>225</v>
      </c>
      <c r="D106" s="1489">
        <v>0.62</v>
      </c>
      <c r="E106" s="156">
        <f>(H$129*I$129)/100</f>
        <v>2.2000000000000002</v>
      </c>
      <c r="F106" s="1490">
        <f>G$129/0.11983</f>
        <v>300</v>
      </c>
      <c r="G106" s="540"/>
      <c r="H106" s="540"/>
      <c r="I106" s="540"/>
      <c r="J106" s="540"/>
      <c r="K106" s="539"/>
      <c r="L106" s="1756"/>
      <c r="M106" s="60"/>
      <c r="N106" s="60"/>
      <c r="O106" s="60"/>
      <c r="P106" s="60"/>
      <c r="R106" s="60"/>
      <c r="S106" s="60"/>
      <c r="T106" s="1688"/>
      <c r="U106" s="2709">
        <v>29</v>
      </c>
      <c r="V106" s="2711">
        <v>0.68200000000000005</v>
      </c>
      <c r="W106" s="539"/>
      <c r="X106" s="539"/>
      <c r="Y106" s="539"/>
      <c r="Z106" s="539"/>
      <c r="AA106" s="539"/>
      <c r="AB106" s="1679"/>
      <c r="AC106" s="1679"/>
      <c r="AD106" s="1679"/>
      <c r="AE106" s="1679"/>
      <c r="AF106" s="1680"/>
      <c r="AG106" s="539"/>
      <c r="AH106" s="540"/>
      <c r="AI106" s="540"/>
      <c r="AJ106" s="540"/>
      <c r="AK106" s="1487"/>
      <c r="AL106" s="540"/>
      <c r="AM106" s="1651"/>
      <c r="AN106" s="540"/>
      <c r="AO106" s="540"/>
      <c r="AP106" s="540"/>
      <c r="AQ106" s="540"/>
      <c r="AR106" s="540"/>
      <c r="AS106" s="540"/>
      <c r="AT106" s="540"/>
      <c r="AU106" s="540"/>
      <c r="AV106" s="540"/>
      <c r="AW106" s="540"/>
      <c r="AX106" s="46"/>
      <c r="AY106" s="46"/>
      <c r="AZ106" s="1645" t="s">
        <v>829</v>
      </c>
      <c r="BA106" s="1384" t="s">
        <v>690</v>
      </c>
      <c r="BB106" s="1385" t="s">
        <v>674</v>
      </c>
      <c r="BC106" s="1384" t="s">
        <v>670</v>
      </c>
      <c r="BD106" s="1386">
        <v>71</v>
      </c>
      <c r="BE106" s="1386">
        <v>75</v>
      </c>
      <c r="BF106" s="2928">
        <f t="shared" si="50"/>
        <v>73</v>
      </c>
      <c r="BG106" s="1397">
        <v>10</v>
      </c>
      <c r="BH106" s="2930">
        <f t="shared" si="51"/>
        <v>18.333333333333336</v>
      </c>
      <c r="BI106" s="2930">
        <f t="shared" si="51"/>
        <v>20</v>
      </c>
      <c r="BJ106" s="1387">
        <v>65</v>
      </c>
      <c r="BK106" s="1387">
        <v>68</v>
      </c>
      <c r="BL106" s="2191"/>
    </row>
    <row r="107" spans="1:64" ht="12.75" customHeight="1">
      <c r="A107" s="3439"/>
      <c r="B107" s="1489" t="s">
        <v>61</v>
      </c>
      <c r="C107" s="156">
        <f>F$138</f>
        <v>309.60527413836269</v>
      </c>
      <c r="D107" s="1489">
        <v>0.62</v>
      </c>
      <c r="E107" s="156">
        <f>(H$138*I$138)/100</f>
        <v>10</v>
      </c>
      <c r="F107" s="1490">
        <f>G$138/0.11983</f>
        <v>309.60527413836269</v>
      </c>
      <c r="G107" s="540"/>
      <c r="H107" s="540"/>
      <c r="I107" s="540"/>
      <c r="J107" s="540"/>
      <c r="K107" s="539"/>
      <c r="L107" s="1756"/>
      <c r="M107" s="60"/>
      <c r="N107" s="60"/>
      <c r="O107" s="60"/>
      <c r="P107" s="60"/>
      <c r="R107" s="60"/>
      <c r="S107" s="60"/>
      <c r="T107" s="1688"/>
      <c r="U107" s="2709">
        <v>30</v>
      </c>
      <c r="V107" s="2711">
        <v>0.66500000000000004</v>
      </c>
      <c r="W107" s="539"/>
      <c r="X107" s="539"/>
      <c r="Y107" s="539"/>
      <c r="Z107" s="539"/>
      <c r="AA107" s="539"/>
      <c r="AB107" s="1679"/>
      <c r="AC107" s="1679"/>
      <c r="AD107" s="1679"/>
      <c r="AE107" s="1679"/>
      <c r="AF107" s="1680"/>
      <c r="AG107" s="539"/>
      <c r="AH107" s="540"/>
      <c r="AI107" s="540"/>
      <c r="AJ107" s="540"/>
      <c r="AK107" s="1487"/>
      <c r="AL107" s="540"/>
      <c r="AM107" s="1651"/>
      <c r="AN107" s="540"/>
      <c r="AO107" s="540"/>
      <c r="AP107" s="540"/>
      <c r="AQ107" s="540"/>
      <c r="AR107" s="540"/>
      <c r="AS107" s="540"/>
      <c r="AT107" s="540"/>
      <c r="AU107" s="540"/>
      <c r="AV107" s="540"/>
      <c r="AW107" s="540"/>
      <c r="AX107" s="46"/>
      <c r="AY107" s="46"/>
      <c r="AZ107" s="1645" t="s">
        <v>830</v>
      </c>
      <c r="BA107" s="1384" t="s">
        <v>673</v>
      </c>
      <c r="BB107" s="1385" t="s">
        <v>674</v>
      </c>
      <c r="BC107" s="1384" t="s">
        <v>675</v>
      </c>
      <c r="BD107" s="1386">
        <v>67</v>
      </c>
      <c r="BE107" s="1386">
        <v>75</v>
      </c>
      <c r="BF107" s="2928">
        <f t="shared" si="50"/>
        <v>71</v>
      </c>
      <c r="BG107" s="1382" t="s">
        <v>676</v>
      </c>
      <c r="BH107" s="2930">
        <f t="shared" si="51"/>
        <v>13.333333333333336</v>
      </c>
      <c r="BI107" s="2930">
        <f t="shared" si="51"/>
        <v>21.111111111111114</v>
      </c>
      <c r="BJ107" s="1387">
        <v>56</v>
      </c>
      <c r="BK107" s="1387">
        <v>70</v>
      </c>
      <c r="BL107" s="2191"/>
    </row>
    <row r="108" spans="1:64" ht="12.75" customHeight="1">
      <c r="A108" s="3439"/>
      <c r="B108" s="1489" t="s">
        <v>83</v>
      </c>
      <c r="C108" s="156">
        <f>F$142</f>
        <v>364.68330134357007</v>
      </c>
      <c r="D108" s="1489">
        <v>0.62</v>
      </c>
      <c r="E108" s="156">
        <f>(H$142*I$142)/100</f>
        <v>6</v>
      </c>
      <c r="F108" s="1490">
        <f>G$142/0.11983</f>
        <v>364.68330134357007</v>
      </c>
      <c r="G108" s="540"/>
      <c r="H108" s="540"/>
      <c r="I108" s="540"/>
      <c r="J108" s="540"/>
      <c r="K108" s="539"/>
      <c r="L108" s="1756"/>
      <c r="M108" s="60"/>
      <c r="N108" s="60"/>
      <c r="O108" s="60"/>
      <c r="P108" s="60"/>
      <c r="R108" s="60"/>
      <c r="S108" s="60"/>
      <c r="T108" s="1688"/>
      <c r="U108" s="1569"/>
      <c r="V108" s="578"/>
      <c r="W108" s="1685" t="s">
        <v>962</v>
      </c>
      <c r="X108" s="539"/>
      <c r="Y108" s="539"/>
      <c r="Z108" s="539"/>
      <c r="AA108" s="539"/>
      <c r="AB108" s="539"/>
      <c r="AC108" s="539"/>
      <c r="AD108" s="539"/>
      <c r="AE108" s="539"/>
      <c r="AF108" s="539"/>
      <c r="AG108" s="539"/>
      <c r="AH108" s="539"/>
      <c r="AI108" s="539"/>
      <c r="AJ108" s="539"/>
      <c r="AK108" s="539"/>
      <c r="AL108" s="539"/>
      <c r="AM108" s="1651"/>
      <c r="AN108" s="539"/>
      <c r="AO108" s="539"/>
      <c r="AP108" s="539"/>
      <c r="AQ108" s="539"/>
      <c r="AR108" s="539"/>
      <c r="AS108" s="539"/>
      <c r="AT108" s="539"/>
      <c r="AU108" s="539"/>
      <c r="AV108" s="539"/>
      <c r="AW108" s="539"/>
      <c r="AX108" s="46"/>
      <c r="AY108" s="46"/>
      <c r="AZ108" s="1645" t="s">
        <v>831</v>
      </c>
      <c r="BA108" s="1384" t="s">
        <v>690</v>
      </c>
      <c r="BB108" s="1385" t="s">
        <v>674</v>
      </c>
      <c r="BC108" s="1384" t="s">
        <v>771</v>
      </c>
      <c r="BD108" s="1386">
        <v>67</v>
      </c>
      <c r="BE108" s="1386">
        <v>71</v>
      </c>
      <c r="BF108" s="2928">
        <f t="shared" si="50"/>
        <v>69</v>
      </c>
      <c r="BG108" s="1397">
        <v>9</v>
      </c>
      <c r="BH108" s="2930">
        <f t="shared" si="51"/>
        <v>15.555555555555557</v>
      </c>
      <c r="BI108" s="2930">
        <f t="shared" si="51"/>
        <v>35</v>
      </c>
      <c r="BJ108" s="1387">
        <v>60</v>
      </c>
      <c r="BK108" s="1387">
        <v>95</v>
      </c>
      <c r="BL108" s="2191"/>
    </row>
    <row r="109" spans="1:64" ht="12.75" customHeight="1">
      <c r="A109" s="3439"/>
      <c r="B109" s="1489" t="s">
        <v>273</v>
      </c>
      <c r="C109" s="156">
        <f t="shared" ref="C109:C118" si="52">F109*$C$25/100</f>
        <v>194.25</v>
      </c>
      <c r="D109" s="1489">
        <v>0.62</v>
      </c>
      <c r="E109" s="156">
        <f>(H$148*I$148)/100</f>
        <v>908.8</v>
      </c>
      <c r="F109" s="1490">
        <f>G$148/0.11983</f>
        <v>259</v>
      </c>
      <c r="G109" s="540"/>
      <c r="H109" s="540"/>
      <c r="I109" s="540"/>
      <c r="J109" s="540"/>
      <c r="K109" s="539"/>
      <c r="L109" s="1756"/>
      <c r="M109" s="60"/>
      <c r="N109" s="60"/>
      <c r="O109" s="60"/>
      <c r="P109" s="60"/>
      <c r="R109" s="60"/>
      <c r="S109" s="60"/>
      <c r="T109" s="1688"/>
      <c r="W109" s="1686"/>
      <c r="X109" s="539"/>
      <c r="Y109" s="539"/>
      <c r="Z109" s="539"/>
      <c r="AA109" s="539"/>
      <c r="AB109" s="539"/>
      <c r="AC109" s="539"/>
      <c r="AD109" s="539"/>
      <c r="AE109" s="539"/>
      <c r="AF109" s="539"/>
      <c r="AG109" s="539"/>
      <c r="AH109" s="539"/>
      <c r="AI109" s="539"/>
      <c r="AJ109" s="539"/>
      <c r="AK109" s="539"/>
      <c r="AL109" s="539"/>
      <c r="AM109" s="1651"/>
      <c r="AN109" s="539"/>
      <c r="AO109" s="539"/>
      <c r="AP109" s="539"/>
      <c r="AQ109" s="539"/>
      <c r="AR109" s="539"/>
      <c r="AS109" s="539"/>
      <c r="AT109" s="539"/>
      <c r="AU109" s="539"/>
      <c r="AV109" s="539"/>
      <c r="AW109" s="539"/>
      <c r="AX109" s="46"/>
      <c r="AY109" s="46"/>
      <c r="AZ109" s="1645" t="s">
        <v>832</v>
      </c>
      <c r="BA109" s="1384" t="s">
        <v>673</v>
      </c>
      <c r="BB109" s="1385" t="s">
        <v>674</v>
      </c>
      <c r="BC109" s="1384" t="s">
        <v>675</v>
      </c>
      <c r="BD109" s="1386">
        <v>70</v>
      </c>
      <c r="BE109" s="1386">
        <v>78</v>
      </c>
      <c r="BF109" s="2928">
        <f t="shared" si="50"/>
        <v>74</v>
      </c>
      <c r="BG109" s="1382" t="s">
        <v>676</v>
      </c>
      <c r="BH109" s="2930">
        <f t="shared" si="51"/>
        <v>15.555555555555557</v>
      </c>
      <c r="BI109" s="2930">
        <f t="shared" si="51"/>
        <v>35</v>
      </c>
      <c r="BJ109" s="1387">
        <v>60</v>
      </c>
      <c r="BK109" s="1387">
        <v>95</v>
      </c>
      <c r="BL109" s="2191"/>
    </row>
    <row r="110" spans="1:64" ht="12.75" customHeight="1">
      <c r="A110" s="3439"/>
      <c r="B110" s="1489" t="s">
        <v>274</v>
      </c>
      <c r="C110" s="156">
        <f t="shared" si="52"/>
        <v>213.75</v>
      </c>
      <c r="D110" s="1489">
        <v>0.62</v>
      </c>
      <c r="E110" s="156">
        <f>(H$151*I$151)/100</f>
        <v>763.2</v>
      </c>
      <c r="F110" s="1490">
        <f>G$151/0.11983</f>
        <v>285</v>
      </c>
      <c r="G110" s="540"/>
      <c r="H110" s="540"/>
      <c r="I110" s="540"/>
      <c r="J110" s="540"/>
      <c r="K110" s="539"/>
      <c r="L110" s="1756"/>
      <c r="M110" s="60"/>
      <c r="N110" s="60"/>
      <c r="O110" s="60"/>
      <c r="P110" s="60"/>
      <c r="R110" s="60"/>
      <c r="S110" s="60"/>
      <c r="T110" s="1688"/>
      <c r="U110" s="578"/>
      <c r="V110" s="578"/>
      <c r="W110" s="539"/>
      <c r="X110" s="539"/>
      <c r="Y110" s="539"/>
      <c r="Z110" s="539"/>
      <c r="AA110" s="539"/>
      <c r="AB110" s="539"/>
      <c r="AC110" s="539"/>
      <c r="AD110" s="539"/>
      <c r="AE110" s="539"/>
      <c r="AF110" s="539"/>
      <c r="AG110" s="539"/>
      <c r="AH110" s="539"/>
      <c r="AI110" s="539"/>
      <c r="AJ110" s="539"/>
      <c r="AK110" s="539"/>
      <c r="AL110" s="539"/>
      <c r="AM110" s="1651"/>
      <c r="AN110" s="539"/>
      <c r="AO110" s="539"/>
      <c r="AP110" s="539"/>
      <c r="AQ110" s="539"/>
      <c r="AR110" s="539"/>
      <c r="AS110" s="539"/>
      <c r="AT110" s="539"/>
      <c r="AU110" s="539"/>
      <c r="AV110" s="539"/>
      <c r="AW110" s="539"/>
      <c r="AX110" s="46"/>
      <c r="AY110" s="46"/>
      <c r="AZ110" s="1645" t="s">
        <v>833</v>
      </c>
      <c r="BA110" s="1384" t="s">
        <v>690</v>
      </c>
      <c r="BB110" s="1385" t="s">
        <v>674</v>
      </c>
      <c r="BC110" s="1384" t="s">
        <v>675</v>
      </c>
      <c r="BD110" s="1386">
        <v>70</v>
      </c>
      <c r="BE110" s="1386">
        <v>74</v>
      </c>
      <c r="BF110" s="2928">
        <f t="shared" si="50"/>
        <v>72</v>
      </c>
      <c r="BG110" s="1397">
        <v>9</v>
      </c>
      <c r="BH110" s="2930">
        <f t="shared" si="51"/>
        <v>18.333333333333336</v>
      </c>
      <c r="BI110" s="2930">
        <f t="shared" si="51"/>
        <v>26.666666666666671</v>
      </c>
      <c r="BJ110" s="1387">
        <v>65</v>
      </c>
      <c r="BK110" s="1387">
        <v>80</v>
      </c>
      <c r="BL110" s="2191"/>
    </row>
    <row r="111" spans="1:64" ht="12.75" customHeight="1">
      <c r="A111" s="3439"/>
      <c r="B111" s="1489" t="s">
        <v>275</v>
      </c>
      <c r="C111" s="156">
        <f t="shared" si="52"/>
        <v>212.25</v>
      </c>
      <c r="D111" s="1489">
        <v>0.62</v>
      </c>
      <c r="E111" s="156">
        <f>(H$152*I$152)/100</f>
        <v>77.7</v>
      </c>
      <c r="F111" s="1490">
        <f>G$152/0.11983</f>
        <v>283</v>
      </c>
      <c r="G111" s="540"/>
      <c r="H111" s="540"/>
      <c r="I111" s="540"/>
      <c r="J111" s="540"/>
      <c r="K111" s="539"/>
      <c r="L111" s="1756"/>
      <c r="M111" s="60"/>
      <c r="N111" s="60"/>
      <c r="O111" s="60"/>
      <c r="P111" s="60"/>
      <c r="R111" s="60"/>
      <c r="S111" s="60"/>
      <c r="T111" s="1688"/>
      <c r="U111" s="578"/>
      <c r="V111" s="578"/>
      <c r="W111" s="539"/>
      <c r="X111" s="539"/>
      <c r="Y111" s="539"/>
      <c r="Z111" s="539"/>
      <c r="AA111" s="539"/>
      <c r="AB111" s="539"/>
      <c r="AC111" s="539"/>
      <c r="AD111" s="539"/>
      <c r="AE111" s="539"/>
      <c r="AF111" s="539"/>
      <c r="AG111" s="539"/>
      <c r="AH111" s="539"/>
      <c r="AI111" s="539"/>
      <c r="AJ111" s="539"/>
      <c r="AK111" s="539"/>
      <c r="AL111" s="539"/>
      <c r="AM111" s="1651"/>
      <c r="AN111" s="539"/>
      <c r="AO111" s="539"/>
      <c r="AP111" s="539"/>
      <c r="AQ111" s="539"/>
      <c r="AR111" s="539"/>
      <c r="AS111" s="539"/>
      <c r="AT111" s="539"/>
      <c r="AU111" s="539"/>
      <c r="AV111" s="539"/>
      <c r="AW111" s="539"/>
      <c r="AX111" s="46"/>
      <c r="AY111" s="46"/>
      <c r="AZ111" s="1645" t="s">
        <v>836</v>
      </c>
      <c r="BA111" s="1384" t="s">
        <v>837</v>
      </c>
      <c r="BB111" s="1463" t="s">
        <v>744</v>
      </c>
      <c r="BC111" s="1384" t="s">
        <v>670</v>
      </c>
      <c r="BD111" s="1396"/>
      <c r="BE111" s="1396"/>
      <c r="BF111" s="2928">
        <f t="shared" si="50"/>
        <v>0</v>
      </c>
      <c r="BG111" s="1397" t="s">
        <v>684</v>
      </c>
      <c r="BH111" s="2930">
        <f t="shared" si="51"/>
        <v>15.555555555555557</v>
      </c>
      <c r="BI111" s="2930">
        <f t="shared" si="51"/>
        <v>22.222222222222221</v>
      </c>
      <c r="BJ111" s="1387">
        <v>60</v>
      </c>
      <c r="BK111" s="1387">
        <v>72</v>
      </c>
      <c r="BL111" s="2191"/>
    </row>
    <row r="112" spans="1:64" ht="12.75" customHeight="1">
      <c r="A112" s="3439"/>
      <c r="B112" s="1489" t="s">
        <v>277</v>
      </c>
      <c r="C112" s="156">
        <f t="shared" si="52"/>
        <v>204</v>
      </c>
      <c r="D112" s="1489">
        <v>0.62</v>
      </c>
      <c r="E112" s="156">
        <f>(H$153*I$153)/100</f>
        <v>103.6</v>
      </c>
      <c r="F112" s="1490">
        <f>G$153/0.11983</f>
        <v>272</v>
      </c>
      <c r="G112" s="540"/>
      <c r="H112" s="540"/>
      <c r="I112" s="540"/>
      <c r="J112" s="540"/>
      <c r="K112" s="539"/>
      <c r="L112" s="1756"/>
      <c r="M112" s="60"/>
      <c r="N112" s="60"/>
      <c r="O112" s="60"/>
      <c r="P112" s="60"/>
      <c r="R112" s="60"/>
      <c r="S112" s="60"/>
      <c r="T112" s="1688"/>
      <c r="U112" s="1687"/>
      <c r="V112" s="1687"/>
      <c r="W112" s="1687"/>
      <c r="X112" s="1687"/>
      <c r="Y112" s="539"/>
      <c r="Z112" s="539"/>
      <c r="AA112" s="1687"/>
      <c r="AB112" s="1687"/>
      <c r="AC112" s="1687"/>
      <c r="AD112" s="1687"/>
      <c r="AE112" s="1687"/>
      <c r="AF112" s="1687"/>
      <c r="AG112" s="539"/>
      <c r="AH112" s="539"/>
      <c r="AI112" s="539"/>
      <c r="AJ112" s="539"/>
      <c r="AK112" s="539"/>
      <c r="AL112" s="539"/>
      <c r="AM112" s="1651"/>
      <c r="AN112" s="539"/>
      <c r="AO112" s="539"/>
      <c r="AP112" s="539"/>
      <c r="AQ112" s="539"/>
      <c r="AR112" s="539"/>
      <c r="AS112" s="539"/>
      <c r="AT112" s="539"/>
      <c r="AU112" s="539"/>
      <c r="AV112" s="539"/>
      <c r="AW112" s="539"/>
      <c r="AX112" s="46"/>
      <c r="AY112" s="46"/>
      <c r="AZ112" s="1645" t="s">
        <v>838</v>
      </c>
      <c r="BA112" s="1384" t="s">
        <v>837</v>
      </c>
      <c r="BB112" s="1463" t="s">
        <v>744</v>
      </c>
      <c r="BC112" s="1384" t="s">
        <v>670</v>
      </c>
      <c r="BD112" s="1396"/>
      <c r="BE112" s="1396"/>
      <c r="BF112" s="2928">
        <f t="shared" si="50"/>
        <v>0</v>
      </c>
      <c r="BG112" s="1397" t="s">
        <v>684</v>
      </c>
      <c r="BH112" s="2930">
        <f t="shared" si="51"/>
        <v>17.777777777777779</v>
      </c>
      <c r="BI112" s="2930">
        <f t="shared" si="51"/>
        <v>23.333333333333336</v>
      </c>
      <c r="BJ112" s="1387">
        <v>64</v>
      </c>
      <c r="BK112" s="1387">
        <v>74</v>
      </c>
      <c r="BL112" s="2191"/>
    </row>
    <row r="113" spans="1:64" ht="12.75" customHeight="1">
      <c r="A113" s="3439"/>
      <c r="B113" s="1489" t="s">
        <v>278</v>
      </c>
      <c r="C113" s="156">
        <f t="shared" si="52"/>
        <v>203.25</v>
      </c>
      <c r="D113" s="1489">
        <v>0.62</v>
      </c>
      <c r="E113" s="156">
        <f>(H$154*I$154)/100</f>
        <v>148</v>
      </c>
      <c r="F113" s="1490">
        <f>G$154/0.11983</f>
        <v>271</v>
      </c>
      <c r="G113" s="540"/>
      <c r="H113" s="540"/>
      <c r="I113" s="540"/>
      <c r="J113" s="540"/>
      <c r="K113" s="539"/>
      <c r="L113" s="1756"/>
      <c r="M113" s="60"/>
      <c r="N113" s="60"/>
      <c r="O113" s="60"/>
      <c r="P113" s="60"/>
      <c r="R113" s="60"/>
      <c r="S113" s="60"/>
      <c r="T113" s="1688"/>
      <c r="U113" s="1688"/>
      <c r="V113" s="1688"/>
      <c r="W113" s="539"/>
      <c r="X113" s="539"/>
      <c r="Y113" s="539"/>
      <c r="Z113" s="539"/>
      <c r="AA113" s="539"/>
      <c r="AB113" s="539"/>
      <c r="AC113" s="539"/>
      <c r="AD113" s="539"/>
      <c r="AE113" s="539"/>
      <c r="AF113" s="539"/>
      <c r="AG113" s="539"/>
      <c r="AH113" s="539"/>
      <c r="AI113" s="539"/>
      <c r="AJ113" s="539"/>
      <c r="AK113" s="539"/>
      <c r="AL113" s="539"/>
      <c r="AM113" s="1651"/>
      <c r="AN113" s="539"/>
      <c r="AO113" s="539"/>
      <c r="AP113" s="539"/>
      <c r="AQ113" s="539"/>
      <c r="AR113" s="539"/>
      <c r="AS113" s="539"/>
      <c r="AT113" s="539"/>
      <c r="AU113" s="539"/>
      <c r="AV113" s="539"/>
      <c r="AW113" s="539"/>
      <c r="AX113" s="46"/>
      <c r="AY113" s="46"/>
      <c r="AZ113" s="1698" t="s">
        <v>839</v>
      </c>
      <c r="BA113" s="1384" t="s">
        <v>690</v>
      </c>
      <c r="BB113" s="1385" t="s">
        <v>674</v>
      </c>
      <c r="BC113" s="1384" t="s">
        <v>670</v>
      </c>
      <c r="BD113" s="1386">
        <v>70</v>
      </c>
      <c r="BE113" s="1386">
        <v>76</v>
      </c>
      <c r="BF113" s="2928">
        <f t="shared" si="50"/>
        <v>73</v>
      </c>
      <c r="BG113" s="1397">
        <v>9</v>
      </c>
      <c r="BH113" s="2930">
        <f t="shared" si="51"/>
        <v>18.888888888888886</v>
      </c>
      <c r="BI113" s="2930">
        <f t="shared" si="51"/>
        <v>21.666666666666664</v>
      </c>
      <c r="BJ113" s="1387">
        <v>66</v>
      </c>
      <c r="BK113" s="1387">
        <v>71</v>
      </c>
      <c r="BL113" s="2191"/>
    </row>
    <row r="114" spans="1:64" ht="12.75" customHeight="1">
      <c r="A114" s="3439"/>
      <c r="B114" s="1489" t="s">
        <v>64</v>
      </c>
      <c r="C114" s="156">
        <f t="shared" si="52"/>
        <v>234.75</v>
      </c>
      <c r="D114" s="1489">
        <v>0.62</v>
      </c>
      <c r="E114" s="156">
        <f>(H$171*I$171)/100</f>
        <v>0.71</v>
      </c>
      <c r="F114" s="1490">
        <f>G$171/0.11983</f>
        <v>313</v>
      </c>
      <c r="G114" s="540"/>
      <c r="H114" s="540"/>
      <c r="I114" s="540"/>
      <c r="J114" s="540"/>
      <c r="K114" s="539"/>
      <c r="L114" s="1756"/>
      <c r="M114" s="60"/>
      <c r="N114" s="60"/>
      <c r="O114" s="60"/>
      <c r="P114" s="60"/>
      <c r="R114" s="60"/>
      <c r="S114" s="60"/>
      <c r="T114" s="1688"/>
      <c r="U114" s="1688"/>
      <c r="V114" s="1688"/>
      <c r="W114" s="539"/>
      <c r="X114" s="539"/>
      <c r="Y114" s="539"/>
      <c r="Z114" s="539"/>
      <c r="AA114" s="539"/>
      <c r="AB114" s="539"/>
      <c r="AC114" s="539"/>
      <c r="AD114" s="539"/>
      <c r="AE114" s="539"/>
      <c r="AF114" s="539"/>
      <c r="AG114" s="539"/>
      <c r="AH114" s="539"/>
      <c r="AI114" s="539"/>
      <c r="AJ114" s="539"/>
      <c r="AK114" s="539"/>
      <c r="AL114" s="539"/>
      <c r="AM114" s="1651"/>
      <c r="AN114" s="539"/>
      <c r="AO114" s="539"/>
      <c r="AP114" s="539"/>
      <c r="AQ114" s="539"/>
      <c r="AR114" s="539"/>
      <c r="AS114" s="539"/>
      <c r="AT114" s="539"/>
      <c r="AU114" s="539"/>
      <c r="AV114" s="539"/>
      <c r="AW114" s="539"/>
      <c r="AX114" s="46"/>
      <c r="AY114" s="46"/>
      <c r="AZ114" s="1645" t="s">
        <v>840</v>
      </c>
      <c r="BA114" s="1384" t="s">
        <v>683</v>
      </c>
      <c r="BB114" s="1385" t="s">
        <v>674</v>
      </c>
      <c r="BC114" s="1384" t="s">
        <v>686</v>
      </c>
      <c r="BD114" s="1396"/>
      <c r="BE114" s="1396"/>
      <c r="BF114" s="2928">
        <f t="shared" si="50"/>
        <v>0</v>
      </c>
      <c r="BG114" s="1397" t="s">
        <v>684</v>
      </c>
      <c r="BH114" s="2930">
        <f t="shared" si="51"/>
        <v>17.777777777777779</v>
      </c>
      <c r="BI114" s="2930">
        <f t="shared" si="51"/>
        <v>22.222222222222221</v>
      </c>
      <c r="BJ114" s="1387">
        <v>64</v>
      </c>
      <c r="BK114" s="1387">
        <v>72</v>
      </c>
      <c r="BL114" s="2191"/>
    </row>
    <row r="115" spans="1:64" ht="12.75" customHeight="1">
      <c r="A115" s="3439"/>
      <c r="B115" s="1489" t="s">
        <v>105</v>
      </c>
      <c r="C115" s="156">
        <f t="shared" si="52"/>
        <v>228</v>
      </c>
      <c r="D115" s="1489">
        <v>0.62</v>
      </c>
      <c r="E115" s="156">
        <f>(H$177*I$177)/100</f>
        <v>0</v>
      </c>
      <c r="F115" s="1490">
        <f>G$177/0.11983</f>
        <v>304</v>
      </c>
      <c r="G115" s="540"/>
      <c r="H115" s="540"/>
      <c r="I115" s="540"/>
      <c r="J115" s="540"/>
      <c r="K115" s="539"/>
      <c r="L115" s="1756"/>
      <c r="M115" s="60"/>
      <c r="N115" s="60"/>
      <c r="O115" s="60"/>
      <c r="P115" s="60"/>
      <c r="Q115" s="60"/>
      <c r="R115" s="60"/>
      <c r="S115" s="60"/>
      <c r="T115" s="1688"/>
      <c r="U115" s="539"/>
      <c r="V115" s="539"/>
      <c r="W115" s="539"/>
      <c r="X115" s="539"/>
      <c r="Y115" s="539"/>
      <c r="Z115" s="539"/>
      <c r="AA115" s="539"/>
      <c r="AB115" s="539"/>
      <c r="AC115" s="539"/>
      <c r="AD115" s="539"/>
      <c r="AE115" s="539"/>
      <c r="AF115" s="539"/>
      <c r="AG115" s="539"/>
      <c r="AH115" s="539"/>
      <c r="AI115" s="539"/>
      <c r="AJ115" s="539"/>
      <c r="AK115" s="539"/>
      <c r="AL115" s="539"/>
      <c r="AM115" s="1651"/>
      <c r="AN115" s="539"/>
      <c r="AO115" s="539"/>
      <c r="AP115" s="539"/>
      <c r="AQ115" s="539"/>
      <c r="AR115" s="539"/>
      <c r="AS115" s="539"/>
      <c r="AT115" s="539"/>
      <c r="AU115" s="539"/>
      <c r="AV115" s="539"/>
      <c r="AW115" s="539"/>
      <c r="AX115" s="46"/>
      <c r="AY115" s="46"/>
      <c r="AZ115" s="1645" t="s">
        <v>841</v>
      </c>
      <c r="BA115" s="1384" t="s">
        <v>690</v>
      </c>
      <c r="BB115" s="1385" t="s">
        <v>674</v>
      </c>
      <c r="BC115" s="1384" t="s">
        <v>670</v>
      </c>
      <c r="BD115" s="1386">
        <v>67</v>
      </c>
      <c r="BE115" s="1386">
        <v>71</v>
      </c>
      <c r="BF115" s="2928">
        <f t="shared" si="50"/>
        <v>69</v>
      </c>
      <c r="BG115" s="1397">
        <v>10</v>
      </c>
      <c r="BH115" s="2930">
        <f t="shared" si="51"/>
        <v>10</v>
      </c>
      <c r="BI115" s="2930">
        <f t="shared" si="51"/>
        <v>12.777777777777779</v>
      </c>
      <c r="BJ115" s="1387">
        <v>50</v>
      </c>
      <c r="BK115" s="1387">
        <v>55</v>
      </c>
      <c r="BL115" s="2191"/>
    </row>
    <row r="116" spans="1:64" ht="12.75" customHeight="1">
      <c r="A116" s="3439"/>
      <c r="B116" s="1489" t="s">
        <v>279</v>
      </c>
      <c r="C116" s="156">
        <f t="shared" si="52"/>
        <v>207</v>
      </c>
      <c r="D116" s="1489">
        <v>0.62</v>
      </c>
      <c r="E116" s="156">
        <f>(H$155*I$155)/100</f>
        <v>902.8</v>
      </c>
      <c r="F116" s="1490">
        <f>G$155/0.11983</f>
        <v>276</v>
      </c>
      <c r="G116" s="540"/>
      <c r="H116" s="540"/>
      <c r="I116" s="540"/>
      <c r="J116" s="540"/>
      <c r="K116" s="539"/>
      <c r="L116" s="1756"/>
      <c r="M116" s="60"/>
      <c r="N116" s="60"/>
      <c r="O116" s="60"/>
      <c r="P116" s="60"/>
      <c r="Q116" s="60"/>
      <c r="R116" s="60"/>
      <c r="S116" s="60"/>
      <c r="T116" s="1688"/>
      <c r="U116" s="1120"/>
      <c r="V116" s="1120"/>
      <c r="W116" s="539"/>
      <c r="X116" s="539"/>
      <c r="Y116" s="539"/>
      <c r="Z116" s="539"/>
      <c r="AA116" s="539"/>
      <c r="AB116" s="539"/>
      <c r="AC116" s="539"/>
      <c r="AD116" s="539"/>
      <c r="AE116" s="539"/>
      <c r="AF116" s="539"/>
      <c r="AG116" s="539"/>
      <c r="AH116" s="539"/>
      <c r="AI116" s="539"/>
      <c r="AJ116" s="539"/>
      <c r="AK116" s="539"/>
      <c r="AL116" s="539"/>
      <c r="AM116" s="1651"/>
      <c r="AN116" s="539"/>
      <c r="AO116" s="539"/>
      <c r="AP116" s="539"/>
      <c r="AQ116" s="539"/>
      <c r="AR116" s="539"/>
      <c r="AS116" s="539"/>
      <c r="AT116" s="539"/>
      <c r="AU116" s="539"/>
      <c r="AV116" s="539"/>
      <c r="AW116" s="539"/>
      <c r="AX116" s="46"/>
      <c r="AY116" s="46"/>
      <c r="AZ116" s="1645" t="s">
        <v>842</v>
      </c>
      <c r="BA116" s="1384" t="s">
        <v>843</v>
      </c>
      <c r="BB116" s="1463" t="s">
        <v>744</v>
      </c>
      <c r="BC116" s="1384" t="s">
        <v>670</v>
      </c>
      <c r="BD116" s="1396"/>
      <c r="BE116" s="1396"/>
      <c r="BF116" s="2928">
        <f t="shared" si="50"/>
        <v>0</v>
      </c>
      <c r="BG116" s="1397" t="s">
        <v>684</v>
      </c>
      <c r="BH116" s="2930">
        <f t="shared" si="51"/>
        <v>8.8888888888888857</v>
      </c>
      <c r="BI116" s="2930">
        <f t="shared" si="51"/>
        <v>13.333333333333336</v>
      </c>
      <c r="BJ116" s="1387">
        <v>48</v>
      </c>
      <c r="BK116" s="1387">
        <v>56</v>
      </c>
      <c r="BL116" s="2191"/>
    </row>
    <row r="117" spans="1:64" ht="12.75" customHeight="1">
      <c r="A117" s="3439"/>
      <c r="B117" s="1489" t="s">
        <v>99</v>
      </c>
      <c r="C117" s="156">
        <f t="shared" si="52"/>
        <v>195</v>
      </c>
      <c r="D117" s="1489">
        <v>0.62</v>
      </c>
      <c r="E117" s="156">
        <f>(H$173*I$173)/100</f>
        <v>2.13</v>
      </c>
      <c r="F117" s="1490">
        <f>G$173/0.11983</f>
        <v>260</v>
      </c>
      <c r="G117" s="540"/>
      <c r="H117" s="540"/>
      <c r="I117" s="540"/>
      <c r="J117" s="540"/>
      <c r="K117" s="539"/>
      <c r="L117" s="1756"/>
      <c r="M117" s="60"/>
      <c r="N117" s="60"/>
      <c r="O117" s="60"/>
      <c r="P117" s="60"/>
      <c r="Q117" s="60"/>
      <c r="R117" s="60"/>
      <c r="S117" s="60"/>
      <c r="T117" s="1688"/>
      <c r="U117" s="1120"/>
      <c r="V117" s="1120"/>
      <c r="W117" s="539"/>
      <c r="X117" s="539"/>
      <c r="Y117" s="539"/>
      <c r="Z117" s="539"/>
      <c r="AA117" s="539"/>
      <c r="AB117" s="539"/>
      <c r="AC117" s="539"/>
      <c r="AD117" s="539"/>
      <c r="AE117" s="539"/>
      <c r="AF117" s="539"/>
      <c r="AG117" s="539"/>
      <c r="AH117" s="539"/>
      <c r="AI117" s="539"/>
      <c r="AJ117" s="539"/>
      <c r="AK117" s="539"/>
      <c r="AL117" s="539"/>
      <c r="AM117" s="1651"/>
      <c r="AN117" s="539"/>
      <c r="AO117" s="539"/>
      <c r="AP117" s="539"/>
      <c r="AQ117" s="539"/>
      <c r="AR117" s="539"/>
      <c r="AS117" s="539"/>
      <c r="AT117" s="539"/>
      <c r="AU117" s="539"/>
      <c r="AV117" s="539"/>
      <c r="AW117" s="539"/>
      <c r="AX117" s="46"/>
      <c r="AY117" s="46"/>
      <c r="AZ117" s="1645" t="s">
        <v>844</v>
      </c>
      <c r="BA117" s="1384" t="s">
        <v>690</v>
      </c>
      <c r="BB117" s="1385" t="s">
        <v>674</v>
      </c>
      <c r="BC117" s="1384" t="s">
        <v>711</v>
      </c>
      <c r="BD117" s="1386">
        <v>73</v>
      </c>
      <c r="BE117" s="1386">
        <v>77</v>
      </c>
      <c r="BF117" s="2928">
        <f t="shared" si="50"/>
        <v>75</v>
      </c>
      <c r="BG117" s="1397">
        <v>9</v>
      </c>
      <c r="BH117" s="2930">
        <f t="shared" si="51"/>
        <v>13.888888888888886</v>
      </c>
      <c r="BI117" s="2930">
        <f t="shared" si="51"/>
        <v>25</v>
      </c>
      <c r="BJ117" s="1387">
        <v>57</v>
      </c>
      <c r="BK117" s="1387">
        <v>77</v>
      </c>
      <c r="BL117" s="2191"/>
    </row>
    <row r="118" spans="1:64" ht="12.75" customHeight="1">
      <c r="A118" s="3439"/>
      <c r="B118" s="1489" t="s">
        <v>100</v>
      </c>
      <c r="C118" s="156">
        <f t="shared" si="52"/>
        <v>183.75</v>
      </c>
      <c r="D118" s="1489">
        <v>0.62</v>
      </c>
      <c r="E118" s="156">
        <f>(H$174*I$174)/100</f>
        <v>1.0649999999999999</v>
      </c>
      <c r="F118" s="1490">
        <f>G$174/0.11983</f>
        <v>245</v>
      </c>
      <c r="G118" s="540"/>
      <c r="H118" s="540"/>
      <c r="I118" s="540"/>
      <c r="J118" s="540"/>
      <c r="K118" s="539"/>
      <c r="L118" s="1756"/>
      <c r="M118" s="60"/>
      <c r="N118" s="60"/>
      <c r="O118" s="60"/>
      <c r="P118" s="60"/>
      <c r="Q118" s="60"/>
      <c r="R118" s="60"/>
      <c r="S118" s="60"/>
      <c r="T118" s="1688"/>
      <c r="U118" s="1120"/>
      <c r="V118" s="1120"/>
      <c r="W118" s="539"/>
      <c r="X118" s="539"/>
      <c r="Y118" s="539"/>
      <c r="Z118" s="539"/>
      <c r="AA118" s="539"/>
      <c r="AB118" s="539"/>
      <c r="AC118" s="539"/>
      <c r="AD118" s="539"/>
      <c r="AE118" s="539"/>
      <c r="AF118" s="539"/>
      <c r="AG118" s="539"/>
      <c r="AH118" s="539"/>
      <c r="AI118" s="539"/>
      <c r="AJ118" s="539"/>
      <c r="AK118" s="539"/>
      <c r="AL118" s="539"/>
      <c r="AM118" s="1651"/>
      <c r="AN118" s="539"/>
      <c r="AO118" s="539"/>
      <c r="AP118" s="539"/>
      <c r="AQ118" s="539"/>
      <c r="AR118" s="539"/>
      <c r="AS118" s="539"/>
      <c r="AT118" s="539"/>
      <c r="AU118" s="539"/>
      <c r="AV118" s="539"/>
      <c r="AW118" s="539"/>
      <c r="AX118" s="46"/>
      <c r="AY118" s="46"/>
      <c r="AZ118" s="1645" t="s">
        <v>845</v>
      </c>
      <c r="BA118" s="1384" t="s">
        <v>673</v>
      </c>
      <c r="BB118" s="1385" t="s">
        <v>674</v>
      </c>
      <c r="BC118" s="1384" t="s">
        <v>675</v>
      </c>
      <c r="BD118" s="1386">
        <v>65</v>
      </c>
      <c r="BE118" s="1386">
        <v>73</v>
      </c>
      <c r="BF118" s="2928">
        <f t="shared" si="50"/>
        <v>69</v>
      </c>
      <c r="BG118" s="1382" t="s">
        <v>688</v>
      </c>
      <c r="BH118" s="2930">
        <f t="shared" si="51"/>
        <v>13.888888888888886</v>
      </c>
      <c r="BI118" s="2930">
        <f t="shared" si="51"/>
        <v>25</v>
      </c>
      <c r="BJ118" s="1387">
        <v>57</v>
      </c>
      <c r="BK118" s="1387">
        <v>77</v>
      </c>
      <c r="BL118" s="2191"/>
    </row>
    <row r="119" spans="1:64" ht="12.75" customHeight="1">
      <c r="A119" s="3440" t="s">
        <v>210</v>
      </c>
      <c r="B119" s="1489" t="s">
        <v>280</v>
      </c>
      <c r="C119" s="156">
        <f>F$160</f>
        <v>375</v>
      </c>
      <c r="D119" s="1489">
        <v>1</v>
      </c>
      <c r="E119" s="156">
        <f>(H$160*I$160)/100</f>
        <v>0</v>
      </c>
      <c r="F119" s="1490">
        <f>G$160/0.11983</f>
        <v>375</v>
      </c>
      <c r="G119" s="540"/>
      <c r="H119" s="540"/>
      <c r="I119" s="540"/>
      <c r="J119" s="540"/>
      <c r="K119" s="539"/>
      <c r="L119" s="1756"/>
      <c r="M119" s="60"/>
      <c r="N119" s="60"/>
      <c r="O119" s="60"/>
      <c r="P119" s="60"/>
      <c r="Q119" s="60"/>
      <c r="R119" s="60"/>
      <c r="S119" s="60"/>
      <c r="T119" s="1688"/>
      <c r="U119" s="1120"/>
      <c r="V119" s="1120"/>
      <c r="W119" s="539"/>
      <c r="X119" s="539"/>
      <c r="Y119" s="539"/>
      <c r="Z119" s="539"/>
      <c r="AA119" s="539"/>
      <c r="AB119" s="539"/>
      <c r="AC119" s="539"/>
      <c r="AD119" s="539"/>
      <c r="AE119" s="539"/>
      <c r="AF119" s="539"/>
      <c r="AG119" s="539"/>
      <c r="AH119" s="539"/>
      <c r="AI119" s="539"/>
      <c r="AJ119" s="539"/>
      <c r="AK119" s="539"/>
      <c r="AL119" s="539"/>
      <c r="AM119" s="1651"/>
      <c r="AN119" s="539"/>
      <c r="AO119" s="539"/>
      <c r="AP119" s="539"/>
      <c r="AQ119" s="539"/>
      <c r="AR119" s="539"/>
      <c r="AS119" s="539"/>
      <c r="AT119" s="539"/>
      <c r="AU119" s="539"/>
      <c r="AV119" s="539"/>
      <c r="AW119" s="539"/>
      <c r="AX119" s="46"/>
      <c r="AY119" s="46"/>
      <c r="AZ119" s="1645" t="s">
        <v>846</v>
      </c>
      <c r="BA119" s="1384" t="s">
        <v>673</v>
      </c>
      <c r="BB119" s="1385" t="s">
        <v>674</v>
      </c>
      <c r="BC119" s="1384" t="s">
        <v>675</v>
      </c>
      <c r="BD119" s="1386">
        <v>66</v>
      </c>
      <c r="BE119" s="1386">
        <v>73</v>
      </c>
      <c r="BF119" s="2928">
        <f t="shared" si="50"/>
        <v>69.5</v>
      </c>
      <c r="BG119" s="1382" t="s">
        <v>688</v>
      </c>
      <c r="BH119" s="2930">
        <f t="shared" si="51"/>
        <v>11.111111111111114</v>
      </c>
      <c r="BI119" s="2930">
        <f t="shared" si="51"/>
        <v>14.444444444444443</v>
      </c>
      <c r="BJ119" s="1387">
        <v>52</v>
      </c>
      <c r="BK119" s="1387">
        <v>58</v>
      </c>
      <c r="BL119" s="2191"/>
    </row>
    <row r="120" spans="1:64" ht="12.75" customHeight="1">
      <c r="A120" s="3440"/>
      <c r="B120" s="1489" t="s">
        <v>281</v>
      </c>
      <c r="C120" s="156">
        <f>F$157</f>
        <v>370</v>
      </c>
      <c r="D120" s="1489">
        <v>1</v>
      </c>
      <c r="E120" s="156">
        <f>(H$157*I$157)/100</f>
        <v>16</v>
      </c>
      <c r="F120" s="1490">
        <f>G$157/0.11983</f>
        <v>370</v>
      </c>
      <c r="G120" s="540"/>
      <c r="H120" s="540"/>
      <c r="I120" s="540"/>
      <c r="J120" s="540"/>
      <c r="K120" s="539"/>
      <c r="L120" s="1756"/>
      <c r="M120" s="60"/>
      <c r="N120" s="60"/>
      <c r="O120" s="60"/>
      <c r="P120" s="60"/>
      <c r="Q120" s="60"/>
      <c r="R120" s="60"/>
      <c r="S120" s="60"/>
      <c r="T120" s="1688"/>
      <c r="U120" s="1120"/>
      <c r="V120" s="1120"/>
      <c r="W120" s="539"/>
      <c r="X120" s="539"/>
      <c r="Y120" s="539"/>
      <c r="Z120" s="539"/>
      <c r="AA120" s="539"/>
      <c r="AB120" s="539"/>
      <c r="AC120" s="539"/>
      <c r="AD120" s="539"/>
      <c r="AE120" s="539"/>
      <c r="AF120" s="539"/>
      <c r="AG120" s="539"/>
      <c r="AH120" s="539"/>
      <c r="AI120" s="539"/>
      <c r="AJ120" s="539"/>
      <c r="AK120" s="539"/>
      <c r="AL120" s="539"/>
      <c r="AM120" s="1651"/>
      <c r="AN120" s="539"/>
      <c r="AO120" s="539"/>
      <c r="AP120" s="539"/>
      <c r="AQ120" s="539"/>
      <c r="AR120" s="539"/>
      <c r="AS120" s="539"/>
      <c r="AT120" s="539"/>
      <c r="AU120" s="539"/>
      <c r="AV120" s="539"/>
      <c r="AW120" s="539"/>
      <c r="AX120" s="46"/>
      <c r="AY120" s="46"/>
      <c r="AZ120" s="1645" t="s">
        <v>847</v>
      </c>
      <c r="BA120" s="1384" t="s">
        <v>673</v>
      </c>
      <c r="BB120" s="1385" t="s">
        <v>674</v>
      </c>
      <c r="BC120" s="1384" t="s">
        <v>670</v>
      </c>
      <c r="BD120" s="1386">
        <v>65</v>
      </c>
      <c r="BE120" s="1386">
        <v>70</v>
      </c>
      <c r="BF120" s="2928">
        <f t="shared" si="50"/>
        <v>67.5</v>
      </c>
      <c r="BG120" s="1382" t="s">
        <v>676</v>
      </c>
      <c r="BH120" s="2930">
        <f t="shared" si="51"/>
        <v>20</v>
      </c>
      <c r="BI120" s="2930">
        <f t="shared" si="51"/>
        <v>22.222222222222221</v>
      </c>
      <c r="BJ120" s="1387">
        <v>68</v>
      </c>
      <c r="BK120" s="1387">
        <v>72</v>
      </c>
      <c r="BL120" s="2191"/>
    </row>
    <row r="121" spans="1:64" ht="12.75" customHeight="1">
      <c r="A121" s="3441"/>
      <c r="B121" s="1491" t="s">
        <v>282</v>
      </c>
      <c r="C121" s="1492">
        <f>F$162</f>
        <v>319</v>
      </c>
      <c r="D121" s="1491">
        <v>0.85</v>
      </c>
      <c r="E121" s="1492">
        <f>(H$162*I$162)/100</f>
        <v>0</v>
      </c>
      <c r="F121" s="1493">
        <f>G$162/0.11983</f>
        <v>319</v>
      </c>
      <c r="G121" s="540"/>
      <c r="H121" s="540"/>
      <c r="I121" s="540"/>
      <c r="J121" s="540"/>
      <c r="K121" s="539"/>
      <c r="L121" s="1756"/>
      <c r="M121" s="60"/>
      <c r="N121" s="60"/>
      <c r="O121" s="60"/>
      <c r="P121" s="60"/>
      <c r="Q121" s="60"/>
      <c r="R121" s="60"/>
      <c r="S121" s="60"/>
      <c r="T121" s="1688"/>
      <c r="U121" s="1120"/>
      <c r="V121" s="1120"/>
      <c r="W121" s="539"/>
      <c r="X121" s="539"/>
      <c r="Y121" s="539"/>
      <c r="Z121" s="539"/>
      <c r="AA121" s="539"/>
      <c r="AB121" s="539"/>
      <c r="AC121" s="539"/>
      <c r="AD121" s="539"/>
      <c r="AE121" s="539"/>
      <c r="AF121" s="539"/>
      <c r="AG121" s="539"/>
      <c r="AH121" s="539"/>
      <c r="AI121" s="539"/>
      <c r="AJ121" s="539"/>
      <c r="AK121" s="539"/>
      <c r="AL121" s="539"/>
      <c r="AM121" s="1651"/>
      <c r="AN121" s="539"/>
      <c r="AO121" s="539"/>
      <c r="AP121" s="539"/>
      <c r="AQ121" s="539"/>
      <c r="AR121" s="539"/>
      <c r="AS121" s="539"/>
      <c r="AT121" s="539"/>
      <c r="AU121" s="539"/>
      <c r="AV121" s="539"/>
      <c r="AW121" s="539"/>
      <c r="AX121" s="46"/>
      <c r="AY121" s="46"/>
      <c r="AZ121" s="1645"/>
      <c r="BA121" s="1384"/>
      <c r="BB121" s="1385"/>
      <c r="BC121" s="1384"/>
      <c r="BD121" s="1386"/>
      <c r="BE121" s="1386"/>
      <c r="BF121" s="2928">
        <f t="shared" si="50"/>
        <v>0</v>
      </c>
      <c r="BG121" s="1382"/>
      <c r="BH121" s="2930">
        <f t="shared" si="51"/>
        <v>-17.777777777777779</v>
      </c>
      <c r="BI121" s="2930">
        <f t="shared" si="51"/>
        <v>-17.777777777777779</v>
      </c>
      <c r="BJ121" s="1387">
        <v>0</v>
      </c>
      <c r="BK121" s="1387">
        <v>0</v>
      </c>
      <c r="BL121" s="2191"/>
    </row>
    <row r="122" spans="1:64" ht="12.6" customHeight="1">
      <c r="A122" s="1757"/>
      <c r="B122" s="539"/>
      <c r="C122" s="540"/>
      <c r="D122" s="1375"/>
      <c r="E122" s="1375"/>
      <c r="F122" s="1375"/>
      <c r="G122" s="540"/>
      <c r="H122" s="540"/>
      <c r="I122" s="540"/>
      <c r="J122" s="540"/>
      <c r="K122" s="539"/>
      <c r="L122" s="1756"/>
      <c r="M122" s="60"/>
      <c r="N122" s="60"/>
      <c r="O122" s="60"/>
      <c r="P122" s="60"/>
      <c r="Q122" s="60"/>
      <c r="R122" s="60"/>
      <c r="S122" s="60"/>
      <c r="T122" s="1688"/>
      <c r="U122" s="1120"/>
      <c r="V122" s="1120"/>
      <c r="W122" s="539"/>
      <c r="X122" s="539"/>
      <c r="Y122" s="539"/>
      <c r="Z122" s="539"/>
      <c r="AA122" s="539"/>
      <c r="AB122" s="539"/>
      <c r="AC122" s="539"/>
      <c r="AD122" s="539"/>
      <c r="AE122" s="539"/>
      <c r="AF122" s="539"/>
      <c r="AG122" s="539"/>
      <c r="AH122" s="539"/>
      <c r="AI122" s="539"/>
      <c r="AJ122" s="539"/>
      <c r="AK122" s="539"/>
      <c r="AL122" s="539"/>
      <c r="AM122" s="1651"/>
      <c r="AN122" s="539"/>
      <c r="AO122" s="539"/>
      <c r="AP122" s="539"/>
      <c r="AQ122" s="539"/>
      <c r="AR122" s="539"/>
      <c r="AS122" s="539"/>
      <c r="AT122" s="539"/>
      <c r="AU122" s="539"/>
      <c r="AV122" s="539"/>
      <c r="AW122" s="539"/>
      <c r="AX122" s="46"/>
      <c r="AY122" s="46"/>
      <c r="AZ122" s="1645" t="s">
        <v>848</v>
      </c>
      <c r="BA122" s="1384" t="s">
        <v>690</v>
      </c>
      <c r="BB122" s="1385" t="s">
        <v>674</v>
      </c>
      <c r="BC122" s="1384" t="s">
        <v>724</v>
      </c>
      <c r="BD122" s="1396" t="s">
        <v>724</v>
      </c>
      <c r="BE122" s="1396" t="s">
        <v>724</v>
      </c>
      <c r="BF122" s="2928" t="e">
        <f t="shared" si="50"/>
        <v>#VALUE!</v>
      </c>
      <c r="BG122" s="1397">
        <v>9</v>
      </c>
      <c r="BH122" s="2930">
        <f t="shared" ref="BH122:BI131" si="53">((BJ122+40)*5/9)-40</f>
        <v>18.333333333333336</v>
      </c>
      <c r="BI122" s="2930">
        <f t="shared" si="53"/>
        <v>23.888888888888886</v>
      </c>
      <c r="BJ122" s="1387">
        <v>65</v>
      </c>
      <c r="BK122" s="1387">
        <v>75</v>
      </c>
      <c r="BL122" s="2191"/>
    </row>
    <row r="123" spans="1:64" ht="12.6" customHeight="1">
      <c r="A123" s="537"/>
      <c r="B123" s="3442" t="s">
        <v>1586</v>
      </c>
      <c r="C123" s="3442"/>
      <c r="D123" s="3442"/>
      <c r="E123" s="3442"/>
      <c r="F123" s="3442"/>
      <c r="G123" s="3442"/>
      <c r="H123" s="3442"/>
      <c r="I123" s="3442"/>
      <c r="J123" s="3442"/>
      <c r="K123" s="3442"/>
      <c r="L123" s="3442"/>
      <c r="M123" s="3442"/>
      <c r="N123" s="539"/>
      <c r="O123" s="537"/>
      <c r="P123" s="537"/>
      <c r="Q123" s="537"/>
      <c r="R123" s="1375"/>
      <c r="S123" s="1375"/>
      <c r="T123" s="1375"/>
      <c r="U123" s="1120"/>
      <c r="V123" s="1120"/>
      <c r="W123" s="539"/>
      <c r="X123" s="539"/>
      <c r="Y123" s="539"/>
      <c r="Z123" s="539"/>
      <c r="AA123" s="539"/>
      <c r="AB123" s="539"/>
      <c r="AC123" s="539"/>
      <c r="AD123" s="539"/>
      <c r="AE123" s="539"/>
      <c r="AF123" s="539"/>
      <c r="AG123" s="539"/>
      <c r="AH123" s="539"/>
      <c r="AI123" s="539"/>
      <c r="AJ123" s="539"/>
      <c r="AK123" s="539"/>
      <c r="AL123" s="539"/>
      <c r="AM123" s="1651"/>
      <c r="AN123" s="539"/>
      <c r="AO123" s="539"/>
      <c r="AP123" s="539"/>
      <c r="AQ123" s="539"/>
      <c r="AR123" s="539"/>
      <c r="AS123" s="539"/>
      <c r="AT123" s="539"/>
      <c r="AU123" s="539"/>
      <c r="AV123" s="539"/>
      <c r="AW123" s="539"/>
      <c r="AX123" s="46"/>
      <c r="AY123" s="46"/>
      <c r="AZ123" s="1645" t="s">
        <v>849</v>
      </c>
      <c r="BA123" s="1384" t="s">
        <v>690</v>
      </c>
      <c r="BB123" s="1385" t="s">
        <v>674</v>
      </c>
      <c r="BC123" s="1384" t="s">
        <v>675</v>
      </c>
      <c r="BD123" s="1386">
        <v>71</v>
      </c>
      <c r="BE123" s="1386">
        <v>75</v>
      </c>
      <c r="BF123" s="2928">
        <f t="shared" si="50"/>
        <v>73</v>
      </c>
      <c r="BG123" s="1397">
        <v>9</v>
      </c>
      <c r="BH123" s="2930">
        <f t="shared" si="53"/>
        <v>13.888888888888886</v>
      </c>
      <c r="BI123" s="2930">
        <f t="shared" si="53"/>
        <v>21.111111111111114</v>
      </c>
      <c r="BJ123" s="1387">
        <v>57</v>
      </c>
      <c r="BK123" s="1387">
        <v>70</v>
      </c>
      <c r="BL123" s="2191"/>
    </row>
    <row r="124" spans="1:64" ht="12.75" customHeight="1">
      <c r="A124" s="537"/>
      <c r="B124" s="1758"/>
      <c r="C124" s="540"/>
      <c r="D124" s="1759" t="s">
        <v>65</v>
      </c>
      <c r="E124" s="539"/>
      <c r="F124" s="539"/>
      <c r="G124" s="1757"/>
      <c r="H124" s="539"/>
      <c r="I124" s="539"/>
      <c r="J124" s="539"/>
      <c r="K124" s="3443" t="s">
        <v>66</v>
      </c>
      <c r="L124" s="3443"/>
      <c r="M124" s="539"/>
      <c r="N124" s="539"/>
      <c r="O124" s="1760"/>
      <c r="P124" s="1760"/>
      <c r="Q124" s="1760"/>
      <c r="R124" s="537"/>
      <c r="S124" s="537"/>
      <c r="T124" s="539"/>
      <c r="U124" s="1120"/>
      <c r="V124" s="1120"/>
      <c r="W124" s="539"/>
      <c r="X124" s="539"/>
      <c r="Y124" s="539"/>
      <c r="Z124" s="539"/>
      <c r="AA124" s="539"/>
      <c r="AB124" s="539"/>
      <c r="AC124" s="539"/>
      <c r="AD124" s="539"/>
      <c r="AE124" s="539"/>
      <c r="AF124" s="539"/>
      <c r="AG124" s="539"/>
      <c r="AH124" s="539"/>
      <c r="AI124" s="539"/>
      <c r="AJ124" s="539"/>
      <c r="AK124" s="539"/>
      <c r="AL124" s="539"/>
      <c r="AM124" s="1651"/>
      <c r="AN124" s="539"/>
      <c r="AO124" s="539"/>
      <c r="AP124" s="539"/>
      <c r="AQ124" s="539"/>
      <c r="AR124" s="539"/>
      <c r="AS124" s="539"/>
      <c r="AT124" s="539"/>
      <c r="AU124" s="539"/>
      <c r="AV124" s="539"/>
      <c r="AW124" s="539"/>
      <c r="AX124" s="46"/>
      <c r="AY124" s="46"/>
      <c r="AZ124" s="1645" t="s">
        <v>850</v>
      </c>
      <c r="BA124" s="1384" t="s">
        <v>673</v>
      </c>
      <c r="BB124" s="1385" t="s">
        <v>674</v>
      </c>
      <c r="BC124" s="1384" t="s">
        <v>678</v>
      </c>
      <c r="BD124" s="1386">
        <v>72</v>
      </c>
      <c r="BE124" s="1386">
        <v>77</v>
      </c>
      <c r="BF124" s="2928">
        <f t="shared" si="50"/>
        <v>74.5</v>
      </c>
      <c r="BG124" s="1382" t="s">
        <v>676</v>
      </c>
      <c r="BH124" s="2930">
        <f t="shared" si="53"/>
        <v>8.8888888888888857</v>
      </c>
      <c r="BI124" s="2930">
        <f t="shared" si="53"/>
        <v>14.444444444444443</v>
      </c>
      <c r="BJ124" s="1387">
        <v>48</v>
      </c>
      <c r="BK124" s="1387">
        <v>58</v>
      </c>
      <c r="BL124" s="2191"/>
    </row>
    <row r="125" spans="1:64" ht="13.5" customHeight="1">
      <c r="A125" s="537"/>
      <c r="B125" s="1375"/>
      <c r="C125" s="1977" t="s">
        <v>51</v>
      </c>
      <c r="D125" s="1977" t="s">
        <v>52</v>
      </c>
      <c r="E125" s="1977" t="s">
        <v>53</v>
      </c>
      <c r="F125" s="3444" t="s">
        <v>1175</v>
      </c>
      <c r="G125" s="3444"/>
      <c r="H125" s="3445" t="s">
        <v>1526</v>
      </c>
      <c r="I125" s="1977" t="s">
        <v>53</v>
      </c>
      <c r="J125" s="1117"/>
      <c r="K125" s="538" t="s">
        <v>1</v>
      </c>
      <c r="L125" s="537"/>
      <c r="M125" s="538"/>
      <c r="N125" s="538"/>
      <c r="O125" s="538"/>
      <c r="P125" s="1117"/>
      <c r="Q125" s="1117"/>
      <c r="R125" s="537"/>
      <c r="S125" s="537"/>
      <c r="T125" s="539"/>
      <c r="U125" s="1120"/>
      <c r="V125" s="1120"/>
      <c r="W125" s="539"/>
      <c r="X125" s="539"/>
      <c r="Y125" s="539"/>
      <c r="Z125" s="539"/>
      <c r="AA125" s="539"/>
      <c r="AB125" s="539"/>
      <c r="AC125" s="539"/>
      <c r="AD125" s="539"/>
      <c r="AE125" s="539"/>
      <c r="AF125" s="539"/>
      <c r="AG125" s="539"/>
      <c r="AH125" s="539"/>
      <c r="AI125" s="539"/>
      <c r="AJ125" s="539"/>
      <c r="AK125" s="539"/>
      <c r="AL125" s="539"/>
      <c r="AM125" s="539"/>
      <c r="AN125" s="539"/>
      <c r="AO125" s="539"/>
      <c r="AP125" s="539"/>
      <c r="AQ125" s="539"/>
      <c r="AR125" s="539"/>
      <c r="AS125" s="539"/>
      <c r="AT125" s="539"/>
      <c r="AU125" s="539"/>
      <c r="AV125" s="539"/>
      <c r="AW125" s="539"/>
      <c r="AX125" s="46"/>
      <c r="AY125" s="46"/>
      <c r="AZ125" s="1698" t="s">
        <v>851</v>
      </c>
      <c r="BA125" s="1384" t="s">
        <v>673</v>
      </c>
      <c r="BB125" s="1385" t="s">
        <v>674</v>
      </c>
      <c r="BC125" s="1384" t="s">
        <v>675</v>
      </c>
      <c r="BD125" s="1386">
        <v>70</v>
      </c>
      <c r="BE125" s="1386">
        <v>75</v>
      </c>
      <c r="BF125" s="2928">
        <f t="shared" si="50"/>
        <v>72.5</v>
      </c>
      <c r="BG125" s="1382" t="s">
        <v>676</v>
      </c>
      <c r="BH125" s="2930">
        <f t="shared" si="53"/>
        <v>11.111111111111114</v>
      </c>
      <c r="BI125" s="2930">
        <f t="shared" si="53"/>
        <v>14.444444444444443</v>
      </c>
      <c r="BJ125" s="1387">
        <v>52</v>
      </c>
      <c r="BK125" s="1387">
        <v>58</v>
      </c>
      <c r="BL125" s="2191"/>
    </row>
    <row r="126" spans="1:64" ht="12.75" customHeight="1">
      <c r="A126" s="537"/>
      <c r="B126" s="1375"/>
      <c r="C126" s="1977" t="s">
        <v>213</v>
      </c>
      <c r="D126" s="1977" t="s">
        <v>54</v>
      </c>
      <c r="E126" s="1977" t="s">
        <v>67</v>
      </c>
      <c r="F126" s="1977" t="s">
        <v>213</v>
      </c>
      <c r="G126" s="851" t="s">
        <v>35</v>
      </c>
      <c r="H126" s="3445"/>
      <c r="I126" s="1977" t="s">
        <v>215</v>
      </c>
      <c r="J126" s="1117"/>
      <c r="K126" s="1761" t="s">
        <v>293</v>
      </c>
      <c r="L126" s="1761" t="s">
        <v>291</v>
      </c>
      <c r="M126" s="1761" t="s">
        <v>123</v>
      </c>
      <c r="N126" s="1117"/>
      <c r="O126" s="1761"/>
      <c r="P126" s="1117"/>
      <c r="Q126" s="1117"/>
      <c r="R126" s="537"/>
      <c r="S126" s="537"/>
      <c r="T126" s="539"/>
      <c r="U126" s="1120"/>
      <c r="V126" s="1120"/>
      <c r="W126" s="539"/>
      <c r="X126" s="539"/>
      <c r="Y126" s="539"/>
      <c r="Z126" s="539"/>
      <c r="AA126" s="539"/>
      <c r="AB126" s="539"/>
      <c r="AC126" s="539"/>
      <c r="AD126" s="539"/>
      <c r="AE126" s="539"/>
      <c r="AF126" s="539"/>
      <c r="AG126" s="539"/>
      <c r="AH126" s="539"/>
      <c r="AI126" s="539"/>
      <c r="AJ126" s="539"/>
      <c r="AK126" s="539"/>
      <c r="AL126" s="539"/>
      <c r="AM126" s="539"/>
      <c r="AN126" s="539"/>
      <c r="AO126" s="539"/>
      <c r="AP126" s="539"/>
      <c r="AQ126" s="539"/>
      <c r="AR126" s="539"/>
      <c r="AS126" s="539"/>
      <c r="AT126" s="539"/>
      <c r="AU126" s="539"/>
      <c r="AV126" s="539"/>
      <c r="AW126" s="539"/>
      <c r="AX126" s="46"/>
      <c r="AY126" s="46"/>
      <c r="AZ126" s="1645" t="s">
        <v>852</v>
      </c>
      <c r="BA126" s="1384" t="s">
        <v>690</v>
      </c>
      <c r="BB126" s="1385" t="s">
        <v>674</v>
      </c>
      <c r="BC126" s="1384" t="s">
        <v>670</v>
      </c>
      <c r="BD126" s="1386">
        <v>68</v>
      </c>
      <c r="BE126" s="1386">
        <v>72</v>
      </c>
      <c r="BF126" s="2928">
        <f t="shared" si="50"/>
        <v>70</v>
      </c>
      <c r="BG126" s="1397">
        <v>10</v>
      </c>
      <c r="BH126" s="2930">
        <f t="shared" si="53"/>
        <v>10</v>
      </c>
      <c r="BI126" s="2930">
        <f t="shared" si="53"/>
        <v>12.777777777777779</v>
      </c>
      <c r="BJ126" s="1387">
        <v>50</v>
      </c>
      <c r="BK126" s="1387">
        <v>55</v>
      </c>
      <c r="BL126" s="2191"/>
    </row>
    <row r="127" spans="1:64" ht="12.75" customHeight="1">
      <c r="A127" s="20"/>
      <c r="B127" s="1489" t="s">
        <v>68</v>
      </c>
      <c r="C127" s="156">
        <f t="shared" ref="C127:C134" si="54">F127*$C$25/100</f>
        <v>201.75</v>
      </c>
      <c r="D127" s="1489">
        <v>0.62</v>
      </c>
      <c r="E127" s="156">
        <f>(H$127*I$127)/100</f>
        <v>48.1</v>
      </c>
      <c r="F127" s="156">
        <f>G$127/0.11983</f>
        <v>269</v>
      </c>
      <c r="G127" s="89">
        <v>32.234270000000002</v>
      </c>
      <c r="H127" s="1495">
        <v>74</v>
      </c>
      <c r="I127" s="1489">
        <v>65</v>
      </c>
      <c r="J127" s="1100"/>
      <c r="K127" s="1157">
        <v>20</v>
      </c>
      <c r="L127" s="1160">
        <v>26</v>
      </c>
      <c r="M127" s="1160">
        <v>29</v>
      </c>
      <c r="N127" s="1100"/>
      <c r="O127" s="1160"/>
      <c r="P127" s="1100"/>
      <c r="Q127" s="1100"/>
      <c r="R127" s="20"/>
      <c r="S127" s="20"/>
      <c r="T127" s="1098"/>
      <c r="U127" s="1120"/>
      <c r="V127" s="1120"/>
      <c r="W127" s="539"/>
      <c r="X127" s="539"/>
      <c r="Y127" s="539"/>
      <c r="Z127" s="539"/>
      <c r="AA127" s="539"/>
      <c r="AB127" s="539"/>
      <c r="AC127" s="539"/>
      <c r="AD127" s="539"/>
      <c r="AE127" s="539"/>
      <c r="AF127" s="539"/>
      <c r="AG127" s="539"/>
      <c r="AH127" s="539"/>
      <c r="AI127" s="539"/>
      <c r="AJ127" s="539"/>
      <c r="AK127" s="539"/>
      <c r="AL127" s="539"/>
      <c r="AM127" s="539"/>
      <c r="AN127" s="539"/>
      <c r="AO127" s="539"/>
      <c r="AP127" s="539"/>
      <c r="AQ127" s="539"/>
      <c r="AR127" s="539"/>
      <c r="AS127" s="539"/>
      <c r="AT127" s="539"/>
      <c r="AU127" s="539"/>
      <c r="AV127" s="539"/>
      <c r="AW127" s="539"/>
      <c r="AX127" s="46"/>
      <c r="AY127" s="46"/>
      <c r="AZ127" s="1700" t="s">
        <v>853</v>
      </c>
      <c r="BA127" s="1384" t="s">
        <v>690</v>
      </c>
      <c r="BB127" s="1385" t="s">
        <v>674</v>
      </c>
      <c r="BC127" s="1384" t="s">
        <v>719</v>
      </c>
      <c r="BD127" s="1386"/>
      <c r="BE127" s="1386"/>
      <c r="BF127" s="2928">
        <f t="shared" si="50"/>
        <v>0</v>
      </c>
      <c r="BG127" s="1397">
        <v>11</v>
      </c>
      <c r="BH127" s="2930">
        <f t="shared" si="53"/>
        <v>18.333333333333336</v>
      </c>
      <c r="BI127" s="2930">
        <f t="shared" si="53"/>
        <v>20</v>
      </c>
      <c r="BJ127" s="1387">
        <v>65</v>
      </c>
      <c r="BK127" s="1387">
        <v>68</v>
      </c>
      <c r="BL127" s="2191"/>
    </row>
    <row r="128" spans="1:64" ht="12.75" customHeight="1">
      <c r="A128" s="20"/>
      <c r="B128" s="1489" t="s">
        <v>69</v>
      </c>
      <c r="C128" s="156">
        <f t="shared" si="54"/>
        <v>202.5</v>
      </c>
      <c r="D128" s="1489">
        <v>0.62</v>
      </c>
      <c r="E128" s="156">
        <f>(H$128*I$128)/100</f>
        <v>79.2</v>
      </c>
      <c r="F128" s="156">
        <f>G$128/0.11983</f>
        <v>270</v>
      </c>
      <c r="G128" s="89">
        <v>32.354100000000003</v>
      </c>
      <c r="H128" s="1495">
        <v>72</v>
      </c>
      <c r="I128" s="1489">
        <v>110</v>
      </c>
      <c r="J128" s="1100"/>
      <c r="K128" s="1157">
        <v>10</v>
      </c>
      <c r="L128" s="1157">
        <v>13</v>
      </c>
      <c r="M128" s="1157">
        <v>15</v>
      </c>
      <c r="N128" s="1100"/>
      <c r="O128" s="1157"/>
      <c r="P128" s="1100"/>
      <c r="Q128" s="1100"/>
      <c r="R128" s="20"/>
      <c r="S128" s="20"/>
      <c r="T128" s="1098"/>
      <c r="U128" s="1120"/>
      <c r="V128" s="1120"/>
      <c r="W128" s="539"/>
      <c r="X128" s="539"/>
      <c r="Y128" s="539"/>
      <c r="Z128" s="539"/>
      <c r="AA128" s="539"/>
      <c r="AB128" s="539"/>
      <c r="AC128" s="539"/>
      <c r="AD128" s="539"/>
      <c r="AE128" s="539"/>
      <c r="AF128" s="539"/>
      <c r="AG128" s="539"/>
      <c r="AH128" s="539"/>
      <c r="AI128" s="539"/>
      <c r="AJ128" s="539"/>
      <c r="AK128" s="539"/>
      <c r="AL128" s="539"/>
      <c r="AM128" s="539"/>
      <c r="AN128" s="539"/>
      <c r="AO128" s="539"/>
      <c r="AP128" s="539"/>
      <c r="AQ128" s="539"/>
      <c r="AR128" s="539"/>
      <c r="AS128" s="539"/>
      <c r="AT128" s="539"/>
      <c r="AU128" s="539"/>
      <c r="AV128" s="539"/>
      <c r="AW128" s="539"/>
      <c r="AX128" s="46"/>
      <c r="AY128" s="46"/>
      <c r="AZ128" s="1645" t="s">
        <v>854</v>
      </c>
      <c r="BA128" s="1384" t="s">
        <v>855</v>
      </c>
      <c r="BB128" s="1463" t="s">
        <v>744</v>
      </c>
      <c r="BC128" s="1384" t="s">
        <v>670</v>
      </c>
      <c r="BD128" s="1386"/>
      <c r="BE128" s="1386"/>
      <c r="BF128" s="2928">
        <f t="shared" si="50"/>
        <v>0</v>
      </c>
      <c r="BG128" s="1397" t="s">
        <v>684</v>
      </c>
      <c r="BH128" s="2930">
        <f t="shared" si="53"/>
        <v>15.555555555555557</v>
      </c>
      <c r="BI128" s="2930">
        <f t="shared" si="53"/>
        <v>35</v>
      </c>
      <c r="BJ128" s="1387">
        <v>60</v>
      </c>
      <c r="BK128" s="1387">
        <v>95</v>
      </c>
      <c r="BL128" s="2191"/>
    </row>
    <row r="129" spans="1:64" ht="12.75" customHeight="1">
      <c r="A129" s="20"/>
      <c r="B129" s="1489" t="s">
        <v>60</v>
      </c>
      <c r="C129" s="156">
        <f t="shared" si="54"/>
        <v>225</v>
      </c>
      <c r="D129" s="1489">
        <v>0.62</v>
      </c>
      <c r="E129" s="156">
        <f>(H$129*I$129)/100</f>
        <v>2.2000000000000002</v>
      </c>
      <c r="F129" s="156">
        <f>G$129/0.11983</f>
        <v>300</v>
      </c>
      <c r="G129" s="89">
        <v>35.949000000000005</v>
      </c>
      <c r="H129" s="1495">
        <v>80</v>
      </c>
      <c r="I129" s="1496">
        <v>2.75</v>
      </c>
      <c r="J129" s="1100"/>
      <c r="K129" s="1100"/>
      <c r="L129" s="20"/>
      <c r="M129" s="1100"/>
      <c r="N129" s="1100"/>
      <c r="O129" s="1100"/>
      <c r="P129" s="1100"/>
      <c r="Q129" s="1100"/>
      <c r="R129" s="20"/>
      <c r="S129" s="20"/>
      <c r="T129" s="1098"/>
      <c r="U129" s="1098"/>
      <c r="V129" s="1098"/>
      <c r="W129" s="1098"/>
      <c r="X129" s="1098"/>
      <c r="Y129" s="1098"/>
      <c r="Z129" s="1098"/>
      <c r="AA129" s="1098"/>
      <c r="AB129" s="1098"/>
      <c r="AC129" s="1098"/>
      <c r="AD129" s="1098"/>
      <c r="AE129" s="1098"/>
      <c r="AF129" s="1098"/>
      <c r="AG129" s="1098"/>
      <c r="AH129" s="1098"/>
      <c r="AI129" s="1098"/>
      <c r="AJ129" s="1098"/>
      <c r="AK129" s="1098"/>
      <c r="AL129" s="1098"/>
      <c r="AM129" s="1098"/>
      <c r="AN129" s="1098"/>
      <c r="AO129" s="1098"/>
      <c r="AP129" s="1098"/>
      <c r="AQ129" s="1098"/>
      <c r="AR129" s="1098"/>
      <c r="AS129" s="1098"/>
      <c r="AT129" s="1098"/>
      <c r="AU129" s="1098"/>
      <c r="AV129" s="1098"/>
      <c r="AW129" s="1098"/>
      <c r="AX129" s="46"/>
      <c r="AY129" s="46"/>
      <c r="AZ129" s="1701" t="s">
        <v>856</v>
      </c>
      <c r="BA129" s="1392" t="s">
        <v>681</v>
      </c>
      <c r="BB129" s="1385" t="s">
        <v>674</v>
      </c>
      <c r="BC129" s="1384" t="s">
        <v>675</v>
      </c>
      <c r="BD129" s="1627">
        <v>70</v>
      </c>
      <c r="BE129" s="1386">
        <v>80</v>
      </c>
      <c r="BF129" s="2928">
        <f t="shared" si="50"/>
        <v>75</v>
      </c>
      <c r="BG129" s="1382" t="s">
        <v>857</v>
      </c>
      <c r="BH129" s="2930">
        <f t="shared" si="53"/>
        <v>8.8888888888888857</v>
      </c>
      <c r="BI129" s="2930">
        <f t="shared" si="53"/>
        <v>13.333333333333336</v>
      </c>
      <c r="BJ129" s="1387">
        <v>48</v>
      </c>
      <c r="BK129" s="1387">
        <v>56</v>
      </c>
      <c r="BL129" s="2191"/>
    </row>
    <row r="130" spans="1:64" ht="12.75" customHeight="1">
      <c r="A130" s="20"/>
      <c r="B130" s="1489" t="s">
        <v>59</v>
      </c>
      <c r="C130" s="156">
        <f t="shared" si="54"/>
        <v>221.25</v>
      </c>
      <c r="D130" s="1489">
        <v>0.62</v>
      </c>
      <c r="E130" s="156">
        <f>(H$130*I$130)/100</f>
        <v>4.97</v>
      </c>
      <c r="F130" s="156">
        <f>G$130/0.11983</f>
        <v>295</v>
      </c>
      <c r="G130" s="89">
        <v>35.349850000000004</v>
      </c>
      <c r="H130" s="1495">
        <v>71</v>
      </c>
      <c r="I130" s="1496">
        <v>7</v>
      </c>
      <c r="J130" s="1100"/>
      <c r="K130" s="1100"/>
      <c r="L130" s="20"/>
      <c r="M130" s="1100"/>
      <c r="N130" s="1100"/>
      <c r="O130" s="1100"/>
      <c r="P130" s="1100"/>
      <c r="Q130" s="1100"/>
      <c r="R130" s="20"/>
      <c r="S130" s="20"/>
      <c r="T130" s="1098"/>
      <c r="U130" s="1098"/>
      <c r="V130" s="1098"/>
      <c r="W130" s="1098"/>
      <c r="X130" s="1098"/>
      <c r="Y130" s="1098"/>
      <c r="Z130" s="1098"/>
      <c r="AA130" s="1098"/>
      <c r="AB130" s="1098"/>
      <c r="AC130" s="1098"/>
      <c r="AD130" s="1098"/>
      <c r="AE130" s="1098"/>
      <c r="AF130" s="1098"/>
      <c r="AG130" s="1098"/>
      <c r="AH130" s="1098"/>
      <c r="AI130" s="1098"/>
      <c r="AJ130" s="1098"/>
      <c r="AK130" s="1098"/>
      <c r="AL130" s="1098"/>
      <c r="AM130" s="1098"/>
      <c r="AN130" s="1098"/>
      <c r="AO130" s="1098"/>
      <c r="AP130" s="1098"/>
      <c r="AQ130" s="1098"/>
      <c r="AR130" s="1098"/>
      <c r="AS130" s="1098"/>
      <c r="AT130" s="1098"/>
      <c r="AU130" s="1098"/>
      <c r="AV130" s="1098"/>
      <c r="AW130" s="1098"/>
      <c r="AX130" s="46"/>
      <c r="AY130" s="46"/>
      <c r="AZ130" s="1701"/>
      <c r="BA130" s="1392"/>
      <c r="BB130" s="1385"/>
      <c r="BC130" s="1384"/>
      <c r="BD130" s="1627"/>
      <c r="BE130" s="1386"/>
      <c r="BF130" s="2928">
        <f t="shared" si="50"/>
        <v>0</v>
      </c>
      <c r="BG130" s="1382"/>
      <c r="BH130" s="2930">
        <f t="shared" si="53"/>
        <v>-17.777777777777779</v>
      </c>
      <c r="BI130" s="2930">
        <f>((BK130+40)*5/9)-40</f>
        <v>-17.777777777777779</v>
      </c>
      <c r="BJ130" s="1387">
        <v>0</v>
      </c>
      <c r="BK130" s="1387">
        <v>0</v>
      </c>
      <c r="BL130" s="2191"/>
    </row>
    <row r="131" spans="1:64" ht="12.75" customHeight="1">
      <c r="A131" s="20"/>
      <c r="B131" s="1489" t="s">
        <v>70</v>
      </c>
      <c r="C131" s="156">
        <f t="shared" si="54"/>
        <v>221.25</v>
      </c>
      <c r="D131" s="1489">
        <v>0.62</v>
      </c>
      <c r="E131" s="156">
        <f>(H$131*I$131)/100</f>
        <v>12.15</v>
      </c>
      <c r="F131" s="156">
        <f>G$131/0.11983</f>
        <v>295</v>
      </c>
      <c r="G131" s="89">
        <v>35.349850000000004</v>
      </c>
      <c r="H131" s="1495">
        <v>81</v>
      </c>
      <c r="I131" s="1489">
        <v>15</v>
      </c>
      <c r="J131" s="1978" t="s">
        <v>71</v>
      </c>
      <c r="K131" s="1978"/>
      <c r="L131" s="20"/>
      <c r="M131" s="1978"/>
      <c r="N131" s="1978"/>
      <c r="O131" s="1978"/>
      <c r="P131" s="1978"/>
      <c r="Q131" s="1978"/>
      <c r="R131" s="20"/>
      <c r="S131" s="20"/>
      <c r="T131" s="1098"/>
      <c r="U131" s="1098"/>
      <c r="V131" s="1098"/>
      <c r="W131" s="1098"/>
      <c r="X131" s="1098"/>
      <c r="Y131" s="1098"/>
      <c r="Z131" s="1098"/>
      <c r="AA131" s="1098"/>
      <c r="AB131" s="1098"/>
      <c r="AC131" s="1098"/>
      <c r="AD131" s="1098"/>
      <c r="AE131" s="1098"/>
      <c r="AF131" s="1098"/>
      <c r="AG131" s="1098"/>
      <c r="AH131" s="1098"/>
      <c r="AI131" s="1098"/>
      <c r="AJ131" s="1098"/>
      <c r="AK131" s="1098"/>
      <c r="AL131" s="1098"/>
      <c r="AM131" s="1098"/>
      <c r="AN131" s="1098"/>
      <c r="AO131" s="1098"/>
      <c r="AP131" s="1098"/>
      <c r="AQ131" s="1098"/>
      <c r="AR131" s="1098"/>
      <c r="AS131" s="1098"/>
      <c r="AT131" s="1098"/>
      <c r="AU131" s="1098"/>
      <c r="AV131" s="1098"/>
      <c r="AW131" s="1098"/>
      <c r="AX131" s="46"/>
      <c r="AY131" s="46"/>
      <c r="AZ131" s="1701"/>
      <c r="BA131" s="1392"/>
      <c r="BB131" s="1385"/>
      <c r="BC131" s="1384"/>
      <c r="BD131" s="1627"/>
      <c r="BE131" s="1386"/>
      <c r="BF131" s="2928">
        <f t="shared" si="50"/>
        <v>0</v>
      </c>
      <c r="BG131" s="1382"/>
      <c r="BH131" s="2930">
        <f t="shared" si="53"/>
        <v>-17.777777777777779</v>
      </c>
      <c r="BI131" s="2930">
        <f t="shared" si="53"/>
        <v>-17.777777777777779</v>
      </c>
      <c r="BJ131" s="1387">
        <v>0</v>
      </c>
      <c r="BK131" s="1387">
        <v>0</v>
      </c>
      <c r="BL131" s="2191"/>
    </row>
    <row r="132" spans="1:64" ht="12.75" customHeight="1">
      <c r="A132" s="20"/>
      <c r="B132" s="1489" t="s">
        <v>55</v>
      </c>
      <c r="C132" s="156">
        <f t="shared" si="54"/>
        <v>225</v>
      </c>
      <c r="D132" s="1489">
        <v>0.62</v>
      </c>
      <c r="E132" s="156">
        <f>(H$132*I$132)/100</f>
        <v>4.0999999999999996</v>
      </c>
      <c r="F132" s="156">
        <f>G$132/0.11983</f>
        <v>300</v>
      </c>
      <c r="G132" s="89">
        <v>35.949000000000005</v>
      </c>
      <c r="H132" s="1495">
        <v>82</v>
      </c>
      <c r="I132" s="1496">
        <v>5</v>
      </c>
      <c r="J132" s="1978" t="s">
        <v>72</v>
      </c>
      <c r="K132" s="1978"/>
      <c r="L132" s="20"/>
      <c r="M132" s="1978"/>
      <c r="N132" s="1978"/>
      <c r="O132" s="1978"/>
      <c r="P132" s="1978"/>
      <c r="Q132" s="1978"/>
      <c r="R132" s="20"/>
      <c r="S132" s="20"/>
      <c r="T132" s="1098"/>
      <c r="U132" s="1098"/>
      <c r="V132" s="1098"/>
      <c r="W132" s="1098"/>
      <c r="X132" s="1494"/>
      <c r="Y132" s="1494"/>
      <c r="Z132" s="1098"/>
      <c r="AA132" s="1494"/>
      <c r="AB132" s="1098"/>
      <c r="AC132" s="1098"/>
      <c r="AD132" s="1098"/>
      <c r="AE132" s="1098"/>
      <c r="AF132" s="1098"/>
      <c r="AG132" s="1098"/>
      <c r="AH132" s="1098"/>
      <c r="AI132" s="1098"/>
      <c r="AJ132" s="1098"/>
      <c r="AK132" s="1098"/>
      <c r="AL132" s="1098"/>
      <c r="AM132" s="1098"/>
      <c r="AN132" s="1098"/>
      <c r="AO132" s="1098"/>
      <c r="AP132" s="1098"/>
      <c r="AQ132" s="1098"/>
      <c r="AR132" s="1098"/>
      <c r="AS132" s="1098"/>
      <c r="AT132" s="1098"/>
      <c r="AU132" s="1098"/>
      <c r="AV132" s="1098"/>
      <c r="AW132" s="1098"/>
      <c r="AX132" s="46"/>
      <c r="AY132" s="46"/>
      <c r="AZ132" s="561"/>
      <c r="BA132" s="561"/>
      <c r="BB132" s="561"/>
      <c r="BC132" s="561"/>
      <c r="BD132" s="561"/>
      <c r="BE132" s="561"/>
      <c r="BF132" s="561"/>
      <c r="BG132" s="561"/>
      <c r="BH132" s="561"/>
      <c r="BI132" s="561"/>
      <c r="BJ132" s="561"/>
      <c r="BK132" s="561"/>
      <c r="BL132" s="2191"/>
    </row>
    <row r="133" spans="1:64" ht="12.75" customHeight="1">
      <c r="A133" s="20"/>
      <c r="B133" s="1489" t="s">
        <v>73</v>
      </c>
      <c r="C133" s="156">
        <f t="shared" si="54"/>
        <v>221.25</v>
      </c>
      <c r="D133" s="1489">
        <v>0.62</v>
      </c>
      <c r="E133" s="156">
        <f>(H$133*I$133)/100</f>
        <v>6.57</v>
      </c>
      <c r="F133" s="156">
        <f>G$133/0.11983</f>
        <v>295</v>
      </c>
      <c r="G133" s="89">
        <v>35.349850000000004</v>
      </c>
      <c r="H133" s="1495">
        <v>73</v>
      </c>
      <c r="I133" s="1496">
        <v>9</v>
      </c>
      <c r="J133" s="20"/>
      <c r="K133" s="20"/>
      <c r="L133" s="20"/>
      <c r="M133" s="20"/>
      <c r="N133" s="20"/>
      <c r="O133" s="20"/>
      <c r="P133" s="20"/>
      <c r="Q133" s="20"/>
      <c r="R133" s="20"/>
      <c r="S133" s="20"/>
      <c r="T133" s="1098"/>
      <c r="U133" s="1098"/>
      <c r="V133" s="1098"/>
      <c r="W133" s="1098"/>
      <c r="X133" s="1494"/>
      <c r="Y133" s="1494"/>
      <c r="Z133" s="1098"/>
      <c r="AA133" s="1494"/>
      <c r="AB133" s="1098"/>
      <c r="AC133" s="1098"/>
      <c r="AD133" s="1098"/>
      <c r="AE133" s="1098"/>
      <c r="AF133" s="1098"/>
      <c r="AG133" s="1098"/>
      <c r="AH133" s="1098"/>
      <c r="AI133" s="1098"/>
      <c r="AJ133" s="1098"/>
      <c r="AK133" s="1098"/>
      <c r="AL133" s="1098"/>
      <c r="AM133" s="1098"/>
      <c r="AN133" s="1098"/>
      <c r="AO133" s="1098"/>
      <c r="AP133" s="1098"/>
      <c r="AQ133" s="1098"/>
      <c r="AR133" s="1098"/>
      <c r="AS133" s="1098"/>
      <c r="AT133" s="1098"/>
      <c r="AU133" s="1098"/>
      <c r="AV133" s="1098"/>
      <c r="AW133" s="1098"/>
      <c r="AX133" s="46"/>
      <c r="AY133" s="46"/>
      <c r="AZ133" s="24" t="s">
        <v>858</v>
      </c>
      <c r="BA133" s="147"/>
      <c r="BB133" s="147"/>
      <c r="BC133" s="147"/>
      <c r="BD133" s="147"/>
      <c r="BE133" s="148"/>
      <c r="BF133" s="149"/>
      <c r="BG133" s="150"/>
      <c r="BH133" s="561"/>
      <c r="BI133" s="844"/>
      <c r="BJ133" s="844"/>
      <c r="BK133" s="844"/>
      <c r="BL133" s="561"/>
    </row>
    <row r="134" spans="1:64" ht="12.75" customHeight="1">
      <c r="A134" s="20"/>
      <c r="B134" s="1489" t="s">
        <v>74</v>
      </c>
      <c r="C134" s="156">
        <f t="shared" si="54"/>
        <v>228.75</v>
      </c>
      <c r="D134" s="1489">
        <v>0.62</v>
      </c>
      <c r="E134" s="156">
        <f>(H$134*I$134)/100</f>
        <v>7.65</v>
      </c>
      <c r="F134" s="156">
        <f>G$134/0.11983</f>
        <v>305</v>
      </c>
      <c r="G134" s="89">
        <v>36.54815</v>
      </c>
      <c r="H134" s="1495">
        <v>85</v>
      </c>
      <c r="I134" s="1496">
        <v>9</v>
      </c>
      <c r="J134" s="20"/>
      <c r="K134" s="1157">
        <v>70</v>
      </c>
      <c r="L134" s="3446" t="s">
        <v>1478</v>
      </c>
      <c r="M134" s="3446"/>
      <c r="N134" s="3446"/>
      <c r="O134" s="3446"/>
      <c r="P134" s="3446"/>
      <c r="Q134" s="3446"/>
      <c r="R134" s="2782"/>
      <c r="S134" s="1864"/>
      <c r="T134" s="1098"/>
      <c r="U134" s="1689"/>
      <c r="V134" s="1689"/>
      <c r="W134" s="1098"/>
      <c r="X134" s="1494"/>
      <c r="Y134" s="1494"/>
      <c r="Z134" s="1098"/>
      <c r="AA134" s="1494"/>
      <c r="AB134" s="1098"/>
      <c r="AC134" s="1098"/>
      <c r="AD134" s="1098"/>
      <c r="AE134" s="1098"/>
      <c r="AF134" s="1098"/>
      <c r="AG134" s="1098"/>
      <c r="AH134" s="1098"/>
      <c r="AI134" s="1098"/>
      <c r="AJ134" s="1098"/>
      <c r="AK134" s="1098"/>
      <c r="AL134" s="1098"/>
      <c r="AM134" s="1098"/>
      <c r="AN134" s="1098"/>
      <c r="AO134" s="1098"/>
      <c r="AP134" s="1098"/>
      <c r="AQ134" s="1098"/>
      <c r="AR134" s="1098"/>
      <c r="AS134" s="1098"/>
      <c r="AT134" s="1098"/>
      <c r="AU134" s="1098"/>
      <c r="AV134" s="1098"/>
      <c r="AW134" s="1098"/>
      <c r="AX134" s="46"/>
      <c r="AY134" s="46"/>
      <c r="AZ134" s="1766" t="s">
        <v>1551</v>
      </c>
      <c r="BA134" s="3435" t="s">
        <v>859</v>
      </c>
      <c r="BB134" s="3435"/>
      <c r="BC134" s="3436" t="s">
        <v>860</v>
      </c>
      <c r="BD134" s="3436"/>
      <c r="BE134" s="846"/>
      <c r="BF134" s="3437" t="s">
        <v>861</v>
      </c>
      <c r="BG134" s="3437"/>
      <c r="BH134" s="3437"/>
      <c r="BI134" s="3437"/>
      <c r="BJ134" s="3437"/>
      <c r="BK134" s="847"/>
      <c r="BL134" s="561"/>
    </row>
    <row r="135" spans="1:64" ht="12.75" customHeight="1">
      <c r="A135" s="20"/>
      <c r="B135" s="1489" t="s">
        <v>75</v>
      </c>
      <c r="C135" s="156"/>
      <c r="D135" s="1489"/>
      <c r="E135" s="156">
        <f>(H$135*I$135)/100</f>
        <v>0</v>
      </c>
      <c r="F135" s="156">
        <f>G$135/0.11983</f>
        <v>0</v>
      </c>
      <c r="G135" s="88"/>
      <c r="H135" s="1495"/>
      <c r="I135" s="1496"/>
      <c r="J135" s="20"/>
      <c r="K135" s="1156"/>
      <c r="L135" s="3446"/>
      <c r="M135" s="3446"/>
      <c r="N135" s="3446"/>
      <c r="O135" s="3446"/>
      <c r="P135" s="3446"/>
      <c r="Q135" s="3446"/>
      <c r="R135" s="2782"/>
      <c r="S135" s="1864"/>
      <c r="T135" s="1098"/>
      <c r="U135" s="1689"/>
      <c r="V135" s="1689"/>
      <c r="W135" s="1098"/>
      <c r="X135" s="1494"/>
      <c r="Y135" s="1494"/>
      <c r="Z135" s="1098"/>
      <c r="AA135" s="1494"/>
      <c r="AB135" s="1098"/>
      <c r="AC135" s="1098"/>
      <c r="AD135" s="1098"/>
      <c r="AE135" s="1098"/>
      <c r="AF135" s="1098"/>
      <c r="AG135" s="1098"/>
      <c r="AH135" s="1098"/>
      <c r="AI135" s="1098"/>
      <c r="AJ135" s="1098"/>
      <c r="AK135" s="1098"/>
      <c r="AL135" s="1098"/>
      <c r="AM135" s="1098"/>
      <c r="AN135" s="1098"/>
      <c r="AO135" s="1098"/>
      <c r="AP135" s="1098"/>
      <c r="AQ135" s="1098"/>
      <c r="AR135" s="1098"/>
      <c r="AS135" s="1098"/>
      <c r="AT135" s="1098"/>
      <c r="AU135" s="1098"/>
      <c r="AV135" s="1098"/>
      <c r="AW135" s="1098"/>
      <c r="AX135" s="46"/>
      <c r="AY135" s="46"/>
      <c r="BA135" s="1974" t="s">
        <v>247</v>
      </c>
      <c r="BB135" s="1974" t="s">
        <v>862</v>
      </c>
      <c r="BC135" s="3436" t="s">
        <v>863</v>
      </c>
      <c r="BD135" s="3436"/>
      <c r="BE135" s="848"/>
      <c r="BF135" s="848"/>
      <c r="BG135" s="3437" t="s">
        <v>864</v>
      </c>
      <c r="BH135" s="3437"/>
      <c r="BI135" s="849" t="s">
        <v>865</v>
      </c>
      <c r="BJ135" s="847"/>
      <c r="BK135" s="847"/>
      <c r="BL135" s="561"/>
    </row>
    <row r="136" spans="1:64" ht="12.75" customHeight="1">
      <c r="A136" s="20"/>
      <c r="B136" s="540"/>
      <c r="C136" s="1100"/>
      <c r="D136" s="20"/>
      <c r="E136" s="20"/>
      <c r="F136" s="1497"/>
      <c r="G136" s="1121"/>
      <c r="H136" s="1323"/>
      <c r="I136" s="1098"/>
      <c r="J136" s="20"/>
      <c r="K136" s="20"/>
      <c r="L136" s="3446"/>
      <c r="M136" s="3446"/>
      <c r="N136" s="3446"/>
      <c r="O136" s="3446"/>
      <c r="P136" s="3446"/>
      <c r="Q136" s="3446"/>
      <c r="R136" s="2782"/>
      <c r="S136" s="1864"/>
      <c r="T136" s="1098"/>
      <c r="U136" s="1689"/>
      <c r="V136" s="1689"/>
      <c r="W136" s="1098"/>
      <c r="X136" s="1494"/>
      <c r="Y136" s="1494"/>
      <c r="Z136" s="1098"/>
      <c r="AA136" s="1494"/>
      <c r="AB136" s="1098"/>
      <c r="AC136" s="1098"/>
      <c r="AD136" s="1098"/>
      <c r="AE136" s="1098"/>
      <c r="AF136" s="1098"/>
      <c r="AG136" s="1098"/>
      <c r="AH136" s="1098"/>
      <c r="AI136" s="1098"/>
      <c r="AJ136" s="1098"/>
      <c r="AK136" s="1098"/>
      <c r="AL136" s="1098"/>
      <c r="AM136" s="1098"/>
      <c r="AN136" s="1098"/>
      <c r="AO136" s="1098"/>
      <c r="AP136" s="1098"/>
      <c r="AQ136" s="1098"/>
      <c r="AR136" s="1098"/>
      <c r="AS136" s="1098"/>
      <c r="AT136" s="1098"/>
      <c r="AU136" s="1098"/>
      <c r="AV136" s="1098"/>
      <c r="AW136" s="1098"/>
      <c r="AX136" s="46"/>
      <c r="AY136" s="46"/>
      <c r="AZ136" s="845"/>
      <c r="BA136" s="1974" t="s">
        <v>866</v>
      </c>
      <c r="BB136" s="1974" t="s">
        <v>867</v>
      </c>
      <c r="BC136" s="1975" t="s">
        <v>868</v>
      </c>
      <c r="BD136" s="1975"/>
      <c r="BE136" s="848"/>
      <c r="BF136" s="848"/>
      <c r="BG136" s="1976" t="s">
        <v>869</v>
      </c>
      <c r="BH136" s="1976"/>
      <c r="BI136" s="153" t="s">
        <v>870</v>
      </c>
      <c r="BJ136" s="847"/>
      <c r="BK136" s="847"/>
      <c r="BL136" s="561"/>
    </row>
    <row r="137" spans="1:64" ht="12.75" customHeight="1">
      <c r="A137" s="20"/>
      <c r="B137" s="1489" t="s">
        <v>76</v>
      </c>
      <c r="C137" s="156">
        <f>F$137</f>
        <v>309.60527413836269</v>
      </c>
      <c r="D137" s="1489">
        <v>0.62</v>
      </c>
      <c r="E137" s="156">
        <f>(H$137*I$137)/100</f>
        <v>5.5</v>
      </c>
      <c r="F137" s="156">
        <f>G$137/0.11983</f>
        <v>309.60527413836269</v>
      </c>
      <c r="G137" s="88">
        <v>37.1</v>
      </c>
      <c r="H137" s="1495">
        <v>100</v>
      </c>
      <c r="I137" s="1489">
        <v>5.5</v>
      </c>
      <c r="J137" s="20"/>
      <c r="K137" s="20"/>
      <c r="L137" s="3446"/>
      <c r="M137" s="3446"/>
      <c r="N137" s="3446"/>
      <c r="O137" s="3446"/>
      <c r="P137" s="3446"/>
      <c r="Q137" s="3446"/>
      <c r="R137" s="2782"/>
      <c r="S137" s="1864"/>
      <c r="T137" s="1098"/>
      <c r="U137" s="1689"/>
      <c r="V137" s="1689"/>
      <c r="W137" s="1098"/>
      <c r="X137" s="1494"/>
      <c r="Y137" s="1494"/>
      <c r="Z137" s="1098"/>
      <c r="AA137" s="1494"/>
      <c r="AB137" s="1098"/>
      <c r="AC137" s="1098"/>
      <c r="AD137" s="1098"/>
      <c r="AE137" s="1098"/>
      <c r="AF137" s="1098"/>
      <c r="AG137" s="1098"/>
      <c r="AH137" s="1098"/>
      <c r="AI137" s="1098"/>
      <c r="AJ137" s="1098"/>
      <c r="AK137" s="1098"/>
      <c r="AL137" s="1098"/>
      <c r="AM137" s="1098"/>
      <c r="AN137" s="1098"/>
      <c r="AO137" s="1098"/>
      <c r="AP137" s="1098"/>
      <c r="AQ137" s="1098"/>
      <c r="AR137" s="1098"/>
      <c r="AS137" s="1098"/>
      <c r="AT137" s="1098"/>
      <c r="AU137" s="1098"/>
      <c r="AV137" s="1098"/>
      <c r="AW137" s="1098"/>
      <c r="AX137" s="46"/>
      <c r="AY137" s="46"/>
      <c r="AZ137" s="1766"/>
      <c r="BA137" s="1974" t="s">
        <v>871</v>
      </c>
      <c r="BB137" s="1974" t="s">
        <v>872</v>
      </c>
      <c r="BC137" s="154"/>
      <c r="BD137" s="850"/>
      <c r="BE137" s="848"/>
      <c r="BF137" s="848"/>
      <c r="BG137" s="1976" t="s">
        <v>873</v>
      </c>
      <c r="BH137" s="1976"/>
      <c r="BI137" s="849" t="s">
        <v>874</v>
      </c>
      <c r="BJ137" s="843"/>
      <c r="BK137" s="843"/>
      <c r="BL137" s="561"/>
    </row>
    <row r="138" spans="1:64" ht="12.75" customHeight="1">
      <c r="A138" s="20"/>
      <c r="B138" s="1489" t="s">
        <v>61</v>
      </c>
      <c r="C138" s="156">
        <f>F$138</f>
        <v>309.60527413836269</v>
      </c>
      <c r="D138" s="1489">
        <v>0.62</v>
      </c>
      <c r="E138" s="156">
        <f>(H$138*I$138)/100</f>
        <v>10</v>
      </c>
      <c r="F138" s="156">
        <f>G$138/0.11983</f>
        <v>309.60527413836269</v>
      </c>
      <c r="G138" s="88">
        <v>37.1</v>
      </c>
      <c r="H138" s="1495">
        <v>100</v>
      </c>
      <c r="I138" s="1489">
        <v>10</v>
      </c>
      <c r="J138" s="20"/>
      <c r="K138" s="20"/>
      <c r="L138" s="3446"/>
      <c r="M138" s="3446"/>
      <c r="N138" s="3446"/>
      <c r="O138" s="3446"/>
      <c r="P138" s="3446"/>
      <c r="Q138" s="3446"/>
      <c r="R138" s="2782"/>
      <c r="S138" s="1864"/>
      <c r="T138" s="1098"/>
      <c r="U138" s="1689"/>
      <c r="V138" s="1689"/>
      <c r="W138" s="1098"/>
      <c r="X138" s="1494"/>
      <c r="Y138" s="1494"/>
      <c r="Z138" s="1098"/>
      <c r="AA138" s="1494"/>
      <c r="AB138" s="1098"/>
      <c r="AC138" s="1098"/>
      <c r="AD138" s="1098"/>
      <c r="AE138" s="1098"/>
      <c r="AF138" s="1098"/>
      <c r="AG138" s="1098"/>
      <c r="AH138" s="1098"/>
      <c r="AI138" s="1098"/>
      <c r="AJ138" s="1098"/>
      <c r="AK138" s="1098"/>
      <c r="AL138" s="1098"/>
      <c r="AM138" s="1098"/>
      <c r="AN138" s="1098"/>
      <c r="AO138" s="1098"/>
      <c r="AP138" s="1098"/>
      <c r="AQ138" s="1098"/>
      <c r="AR138" s="1098"/>
      <c r="AS138" s="1098"/>
      <c r="AT138" s="1098"/>
      <c r="AU138" s="1098"/>
      <c r="AV138" s="1098"/>
      <c r="AW138" s="1098"/>
      <c r="AX138" s="46"/>
      <c r="AY138" s="46"/>
      <c r="AZ138" s="845"/>
      <c r="BA138" s="1974" t="s">
        <v>875</v>
      </c>
      <c r="BB138" s="1974" t="s">
        <v>876</v>
      </c>
      <c r="BC138" s="154"/>
      <c r="BD138" s="850"/>
      <c r="BE138" s="848"/>
      <c r="BF138" s="848"/>
      <c r="BG138" s="1976" t="s">
        <v>877</v>
      </c>
      <c r="BH138" s="1976"/>
      <c r="BI138" s="849" t="s">
        <v>878</v>
      </c>
      <c r="BJ138" s="24"/>
      <c r="BK138" s="151"/>
      <c r="BL138" s="561"/>
    </row>
    <row r="139" spans="1:64" ht="12.75" customHeight="1">
      <c r="A139" s="20"/>
      <c r="B139" s="1489" t="s">
        <v>77</v>
      </c>
      <c r="C139" s="156">
        <f>F$139</f>
        <v>309.60527413836269</v>
      </c>
      <c r="D139" s="1489">
        <v>0.62</v>
      </c>
      <c r="E139" s="156">
        <f>(H$139*I$139)/100</f>
        <v>18</v>
      </c>
      <c r="F139" s="156">
        <f>G$139/0.11983</f>
        <v>309.60527413836269</v>
      </c>
      <c r="G139" s="88">
        <v>37.1</v>
      </c>
      <c r="H139" s="1495">
        <v>100</v>
      </c>
      <c r="I139" s="1489">
        <v>18</v>
      </c>
      <c r="J139" s="20"/>
      <c r="K139" s="20"/>
      <c r="L139" s="3446"/>
      <c r="M139" s="3446"/>
      <c r="N139" s="3446"/>
      <c r="O139" s="3446"/>
      <c r="P139" s="3446"/>
      <c r="Q139" s="3446"/>
      <c r="R139" s="2782"/>
      <c r="S139" s="1864"/>
      <c r="T139" s="1098"/>
      <c r="U139" s="1098"/>
      <c r="V139" s="1098"/>
      <c r="W139" s="1098"/>
      <c r="X139" s="1098"/>
      <c r="Y139" s="1098"/>
      <c r="Z139" s="1098"/>
      <c r="AA139" s="1098"/>
      <c r="AB139" s="1098"/>
      <c r="AC139" s="1098"/>
      <c r="AD139" s="1098"/>
      <c r="AE139" s="1098"/>
      <c r="AF139" s="1098"/>
      <c r="AG139" s="1098"/>
      <c r="AH139" s="1098"/>
      <c r="AI139" s="1098"/>
      <c r="AJ139" s="1098"/>
      <c r="AK139" s="1098"/>
      <c r="AL139" s="1098"/>
      <c r="AM139" s="1098"/>
      <c r="AN139" s="1098"/>
      <c r="AO139" s="1098"/>
      <c r="AP139" s="1098"/>
      <c r="AQ139" s="1098"/>
      <c r="AR139" s="1098"/>
      <c r="AS139" s="1098"/>
      <c r="AT139" s="1098"/>
      <c r="AU139" s="1098"/>
      <c r="AV139" s="1098"/>
      <c r="AW139" s="1098"/>
      <c r="AX139" s="46"/>
      <c r="AY139" s="46"/>
      <c r="AZ139" s="845"/>
      <c r="BA139" s="152"/>
      <c r="BB139" s="152"/>
      <c r="BC139" s="154"/>
      <c r="BD139" s="850"/>
      <c r="BE139" s="848"/>
      <c r="BF139" s="848"/>
      <c r="BG139" s="1976" t="s">
        <v>879</v>
      </c>
      <c r="BH139" s="1976"/>
      <c r="BI139" s="849" t="s">
        <v>880</v>
      </c>
      <c r="BJ139" s="24"/>
      <c r="BK139" s="151"/>
      <c r="BL139" s="561"/>
    </row>
    <row r="140" spans="1:64" ht="12.75" customHeight="1">
      <c r="A140" s="20"/>
      <c r="B140" s="1489" t="s">
        <v>78</v>
      </c>
      <c r="C140" s="156">
        <f>F$140</f>
        <v>309.60527413836269</v>
      </c>
      <c r="D140" s="1489">
        <v>0.62</v>
      </c>
      <c r="E140" s="156">
        <f>(H$140*I$140)/100</f>
        <v>55</v>
      </c>
      <c r="F140" s="156">
        <f>G$140/0.11983</f>
        <v>309.60527413836269</v>
      </c>
      <c r="G140" s="88">
        <v>37.1</v>
      </c>
      <c r="H140" s="1495">
        <v>100</v>
      </c>
      <c r="I140" s="1489">
        <v>55</v>
      </c>
      <c r="J140" s="20"/>
      <c r="K140" s="20"/>
      <c r="L140" s="3446"/>
      <c r="M140" s="3446"/>
      <c r="N140" s="3446"/>
      <c r="O140" s="3446"/>
      <c r="P140" s="3446"/>
      <c r="Q140" s="3446"/>
      <c r="R140" s="2782"/>
      <c r="S140" s="1864"/>
      <c r="T140" s="1098"/>
      <c r="U140" s="1098"/>
      <c r="V140" s="1098"/>
      <c r="W140" s="1098"/>
      <c r="X140" s="1098"/>
      <c r="Y140" s="1098"/>
      <c r="Z140" s="1098"/>
      <c r="AA140" s="1098"/>
      <c r="AB140" s="1098"/>
      <c r="AC140" s="1098"/>
      <c r="AD140" s="1098"/>
      <c r="AE140" s="1098"/>
      <c r="AF140" s="1098"/>
      <c r="AG140" s="1098"/>
      <c r="AH140" s="1098"/>
      <c r="AI140" s="1098"/>
      <c r="AJ140" s="1098"/>
      <c r="AK140" s="1098"/>
      <c r="AL140" s="1098"/>
      <c r="AM140" s="1098"/>
      <c r="AN140" s="1098"/>
      <c r="AO140" s="1098"/>
      <c r="AP140" s="1098"/>
      <c r="AQ140" s="1098"/>
      <c r="AR140" s="1098"/>
      <c r="AS140" s="1098"/>
      <c r="AT140" s="1098"/>
      <c r="AU140" s="1098"/>
      <c r="AV140" s="1098"/>
      <c r="AW140" s="1098"/>
      <c r="AX140" s="46"/>
      <c r="AY140" s="46"/>
      <c r="AZ140" s="845"/>
      <c r="BA140" s="1974" t="s">
        <v>1145</v>
      </c>
      <c r="BB140" s="1974"/>
      <c r="BC140" s="1974"/>
      <c r="BD140" s="1974"/>
      <c r="BE140" s="1974"/>
      <c r="BF140" s="19"/>
      <c r="BG140" s="19"/>
      <c r="BH140" s="19"/>
      <c r="BI140" s="19"/>
      <c r="BJ140" s="19"/>
      <c r="BK140" s="19"/>
      <c r="BL140" s="561"/>
    </row>
    <row r="141" spans="1:64" ht="12.75" customHeight="1">
      <c r="A141" s="20"/>
      <c r="B141" s="1489" t="s">
        <v>79</v>
      </c>
      <c r="C141" s="156">
        <f>F$141</f>
        <v>309.60527413836269</v>
      </c>
      <c r="D141" s="1489">
        <v>0.62</v>
      </c>
      <c r="E141" s="156">
        <f>(H$141*I$141)/100</f>
        <v>9</v>
      </c>
      <c r="F141" s="156">
        <f>G$141/0.11983</f>
        <v>309.60527413836269</v>
      </c>
      <c r="G141" s="88">
        <v>37.1</v>
      </c>
      <c r="H141" s="1495">
        <v>100</v>
      </c>
      <c r="I141" s="1496">
        <v>9</v>
      </c>
      <c r="J141" s="20"/>
      <c r="K141" s="20"/>
      <c r="L141" s="3446"/>
      <c r="M141" s="3446"/>
      <c r="N141" s="3446"/>
      <c r="O141" s="3446"/>
      <c r="P141" s="3446"/>
      <c r="Q141" s="3446"/>
      <c r="R141" s="2782"/>
      <c r="S141" s="1864"/>
      <c r="T141" s="1098"/>
      <c r="U141" s="1098"/>
      <c r="V141" s="1098"/>
      <c r="W141" s="1098"/>
      <c r="X141" s="1494"/>
      <c r="Y141" s="1494"/>
      <c r="Z141" s="1098"/>
      <c r="AA141" s="1494"/>
      <c r="AB141" s="1098"/>
      <c r="AC141" s="1098"/>
      <c r="AD141" s="1098"/>
      <c r="AE141" s="1098"/>
      <c r="AF141" s="1098"/>
      <c r="AG141" s="1098"/>
      <c r="AH141" s="1098"/>
      <c r="AI141" s="1098"/>
      <c r="AJ141" s="1098"/>
      <c r="AK141" s="1098"/>
      <c r="AL141" s="1098"/>
      <c r="AM141" s="1098"/>
      <c r="AN141" s="1098"/>
      <c r="AO141" s="1098"/>
      <c r="AP141" s="1098"/>
      <c r="AQ141" s="1098"/>
      <c r="AR141" s="1098"/>
      <c r="AS141" s="1098"/>
      <c r="AT141" s="1098"/>
      <c r="AU141" s="1098"/>
      <c r="AV141" s="1098"/>
      <c r="AW141" s="1098"/>
      <c r="AX141" s="46"/>
      <c r="AY141" s="1098"/>
      <c r="AZ141" s="4"/>
      <c r="BA141" s="1974" t="s">
        <v>881</v>
      </c>
      <c r="BB141" s="1974"/>
      <c r="BC141" s="1974"/>
      <c r="BD141" s="1974"/>
      <c r="BE141" s="1974"/>
      <c r="BF141" s="19"/>
      <c r="BG141" s="19"/>
      <c r="BH141" s="19"/>
      <c r="BI141" s="19"/>
      <c r="BJ141" s="19"/>
      <c r="BK141" s="19"/>
      <c r="BL141" s="561"/>
    </row>
    <row r="142" spans="1:64" ht="12.75" customHeight="1">
      <c r="A142" s="20"/>
      <c r="B142" s="1489" t="s">
        <v>83</v>
      </c>
      <c r="C142" s="156">
        <f>F$142</f>
        <v>364.68330134357007</v>
      </c>
      <c r="D142" s="1489">
        <v>0.62</v>
      </c>
      <c r="E142" s="156">
        <f>(H$142*I$142)/100</f>
        <v>6</v>
      </c>
      <c r="F142" s="156">
        <f>G$142/0.11983</f>
        <v>364.68330134357007</v>
      </c>
      <c r="G142" s="88">
        <v>43.7</v>
      </c>
      <c r="H142" s="1495">
        <v>100</v>
      </c>
      <c r="I142" s="1496">
        <v>6</v>
      </c>
      <c r="J142" s="20"/>
      <c r="K142" s="20"/>
      <c r="L142" s="2782"/>
      <c r="M142" s="2782"/>
      <c r="N142" s="2782"/>
      <c r="O142" s="2782"/>
      <c r="P142" s="2782"/>
      <c r="Q142" s="2782"/>
      <c r="R142" s="2782"/>
      <c r="S142" s="1864"/>
      <c r="T142" s="1098"/>
      <c r="U142" s="1098"/>
      <c r="V142" s="1098"/>
      <c r="W142" s="1098"/>
      <c r="X142" s="1494"/>
      <c r="Y142" s="1494"/>
      <c r="Z142" s="1098"/>
      <c r="AA142" s="1494"/>
      <c r="AB142" s="1098"/>
      <c r="AC142" s="1098"/>
      <c r="AD142" s="1098"/>
      <c r="AE142" s="1098"/>
      <c r="AF142" s="1098"/>
      <c r="AG142" s="1098"/>
      <c r="AH142" s="1098"/>
      <c r="AI142" s="1098"/>
      <c r="AJ142" s="1098"/>
      <c r="AK142" s="1098"/>
      <c r="AL142" s="1098"/>
      <c r="AM142" s="1098"/>
      <c r="AN142" s="1098"/>
      <c r="AO142" s="1098"/>
      <c r="AP142" s="1098"/>
      <c r="AQ142" s="1098"/>
      <c r="AR142" s="1098"/>
      <c r="AS142" s="1098"/>
      <c r="AT142" s="1098"/>
      <c r="AU142" s="1098"/>
      <c r="AV142" s="1098"/>
      <c r="AW142" s="1098"/>
      <c r="AX142" s="46"/>
      <c r="AZ142" s="46"/>
      <c r="BA142" s="46"/>
      <c r="BB142" s="46"/>
      <c r="BC142" s="46"/>
      <c r="BD142" s="46"/>
      <c r="BE142" s="46"/>
      <c r="BF142" s="46"/>
      <c r="BG142" s="46"/>
      <c r="BH142" s="46"/>
      <c r="BI142" s="46"/>
      <c r="BJ142" s="46"/>
      <c r="BK142" s="46"/>
      <c r="BL142" s="561"/>
    </row>
    <row r="143" spans="1:64" ht="12.75" customHeight="1">
      <c r="A143" s="20"/>
      <c r="B143" s="1489" t="s">
        <v>62</v>
      </c>
      <c r="C143" s="156">
        <f>F$143</f>
        <v>364.68330134357007</v>
      </c>
      <c r="D143" s="1489">
        <v>0.62</v>
      </c>
      <c r="E143" s="156">
        <f>(H$143*I$143)/100</f>
        <v>9.5</v>
      </c>
      <c r="F143" s="156">
        <f>G$143/0.11983</f>
        <v>364.68330134357007</v>
      </c>
      <c r="G143" s="88">
        <v>43.7</v>
      </c>
      <c r="H143" s="1495">
        <v>100</v>
      </c>
      <c r="I143" s="1489">
        <v>9.5</v>
      </c>
      <c r="J143" s="20"/>
      <c r="K143" s="20"/>
      <c r="L143" s="20"/>
      <c r="M143" s="1864"/>
      <c r="N143" s="1864"/>
      <c r="O143" s="1864"/>
      <c r="P143" s="1864"/>
      <c r="Q143" s="1864"/>
      <c r="R143" s="1864"/>
      <c r="S143" s="1864"/>
      <c r="T143" s="1098"/>
      <c r="U143" s="1098"/>
      <c r="V143" s="1098"/>
      <c r="W143" s="1098"/>
      <c r="X143" s="1494"/>
      <c r="Y143" s="1494"/>
      <c r="Z143" s="1098"/>
      <c r="AA143" s="1494"/>
      <c r="AB143" s="1098"/>
      <c r="AC143" s="1098"/>
      <c r="AD143" s="1098"/>
      <c r="AE143" s="1098"/>
      <c r="AF143" s="1098"/>
      <c r="AG143" s="1098"/>
      <c r="AH143" s="1098"/>
      <c r="AI143" s="1098"/>
      <c r="AJ143" s="1098"/>
      <c r="AK143" s="1098"/>
      <c r="AL143" s="1098"/>
      <c r="AM143" s="1098"/>
      <c r="AN143" s="1098"/>
      <c r="AO143" s="1098"/>
      <c r="AP143" s="1098"/>
      <c r="AQ143" s="1098"/>
      <c r="AR143" s="5"/>
      <c r="AS143" s="5"/>
      <c r="AT143" s="5"/>
      <c r="AU143" s="5"/>
      <c r="AV143" s="5"/>
      <c r="AW143" s="5"/>
      <c r="AX143" s="5"/>
      <c r="AY143" s="5"/>
    </row>
    <row r="144" spans="1:64" ht="12.75" customHeight="1">
      <c r="A144" s="20"/>
      <c r="B144" s="1489" t="s">
        <v>84</v>
      </c>
      <c r="C144" s="156">
        <f>F$144</f>
        <v>364.68330134357007</v>
      </c>
      <c r="D144" s="1489">
        <v>0.62</v>
      </c>
      <c r="E144" s="156">
        <f>(H$144*I$144)/100</f>
        <v>34</v>
      </c>
      <c r="F144" s="156">
        <f>G$144/0.11983</f>
        <v>364.68330134357007</v>
      </c>
      <c r="G144" s="88">
        <v>43.7</v>
      </c>
      <c r="H144" s="1495">
        <v>100</v>
      </c>
      <c r="I144" s="1489">
        <v>34</v>
      </c>
      <c r="J144" s="20"/>
      <c r="K144" s="20"/>
      <c r="L144" s="20"/>
      <c r="M144" s="20"/>
      <c r="N144" s="20"/>
      <c r="O144" s="20"/>
      <c r="P144" s="20"/>
      <c r="Q144" s="20"/>
      <c r="R144" s="20"/>
      <c r="S144" s="20"/>
      <c r="T144" s="1098"/>
      <c r="U144" s="1098"/>
      <c r="V144" s="1098"/>
      <c r="W144" s="1098"/>
      <c r="X144" s="1494"/>
      <c r="Y144" s="1494"/>
      <c r="Z144" s="1098"/>
      <c r="AA144" s="1494"/>
      <c r="AB144" s="1098"/>
      <c r="AC144" s="1098"/>
      <c r="AD144" s="1098"/>
      <c r="AE144" s="1098"/>
      <c r="AF144" s="1098"/>
      <c r="AG144" s="1098"/>
      <c r="AH144" s="1098"/>
      <c r="AI144" s="1098"/>
      <c r="AJ144" s="1098"/>
      <c r="AK144" s="1098"/>
      <c r="AL144" s="1098"/>
      <c r="AM144" s="1098"/>
      <c r="AN144" s="1098"/>
      <c r="AO144" s="1098"/>
      <c r="AP144" s="1098"/>
      <c r="AQ144" s="1098"/>
      <c r="AR144" s="1098"/>
      <c r="AS144" s="1098"/>
      <c r="AT144" s="1098"/>
      <c r="AU144" s="1098"/>
      <c r="AV144" s="1098"/>
      <c r="AW144" s="1098"/>
      <c r="AX144" s="1098"/>
      <c r="AY144" s="1098"/>
    </row>
    <row r="145" spans="1:51" ht="12.75" customHeight="1">
      <c r="A145" s="20"/>
      <c r="B145" s="1489" t="s">
        <v>85</v>
      </c>
      <c r="C145" s="156">
        <f>F$145</f>
        <v>364.68330134357007</v>
      </c>
      <c r="D145" s="1489">
        <v>0.62</v>
      </c>
      <c r="E145" s="156">
        <f>(H$145*I$145)/100</f>
        <v>57</v>
      </c>
      <c r="F145" s="156">
        <f>G$145/0.11983</f>
        <v>364.68330134357007</v>
      </c>
      <c r="G145" s="88">
        <v>43.7</v>
      </c>
      <c r="H145" s="1495">
        <v>100</v>
      </c>
      <c r="I145" s="1489">
        <v>57</v>
      </c>
      <c r="J145" s="1978" t="s">
        <v>306</v>
      </c>
      <c r="K145" s="1978"/>
      <c r="L145" s="1978"/>
      <c r="M145" s="1978"/>
      <c r="N145" s="1978"/>
      <c r="O145" s="20"/>
      <c r="P145" s="1978"/>
      <c r="Q145" s="1978"/>
      <c r="R145" s="20"/>
      <c r="S145" s="20"/>
      <c r="T145" s="1098"/>
      <c r="U145" s="1098"/>
      <c r="V145" s="1098"/>
      <c r="W145" s="1098"/>
      <c r="X145" s="1494"/>
      <c r="Y145" s="1494"/>
      <c r="Z145" s="1098"/>
      <c r="AA145" s="1494"/>
      <c r="AB145" s="1098"/>
      <c r="AC145" s="1098"/>
      <c r="AD145" s="1098"/>
      <c r="AE145" s="1098"/>
      <c r="AF145" s="1098"/>
      <c r="AG145" s="1098"/>
      <c r="AH145" s="1098"/>
      <c r="AI145" s="1098"/>
      <c r="AJ145" s="1098"/>
      <c r="AK145" s="1098"/>
      <c r="AL145" s="1098"/>
      <c r="AM145" s="1098"/>
      <c r="AN145" s="1098"/>
      <c r="AO145" s="1098"/>
      <c r="AP145" s="1098"/>
      <c r="AQ145" s="1098"/>
      <c r="AR145" s="1098"/>
      <c r="AS145" s="1098"/>
      <c r="AT145" s="1098"/>
      <c r="AU145" s="1098"/>
      <c r="AV145" s="1098"/>
      <c r="AW145" s="1098"/>
      <c r="AX145" s="1098"/>
      <c r="AY145" s="1098"/>
    </row>
    <row r="146" spans="1:51" ht="12.75" customHeight="1">
      <c r="A146" s="20"/>
      <c r="B146" s="1489" t="s">
        <v>86</v>
      </c>
      <c r="C146" s="156">
        <f>F$146</f>
        <v>364.68330134357007</v>
      </c>
      <c r="D146" s="1489">
        <v>0.62</v>
      </c>
      <c r="E146" s="156">
        <f>(H$146*I$146)/100</f>
        <v>95</v>
      </c>
      <c r="F146" s="156">
        <f>G$146/0.11983</f>
        <v>364.68330134357007</v>
      </c>
      <c r="G146" s="88">
        <v>43.7</v>
      </c>
      <c r="H146" s="1495">
        <v>100</v>
      </c>
      <c r="I146" s="1489">
        <v>95</v>
      </c>
      <c r="J146" s="1978" t="s">
        <v>72</v>
      </c>
      <c r="K146" s="1978"/>
      <c r="L146" s="1978"/>
      <c r="M146" s="1978"/>
      <c r="N146" s="1978"/>
      <c r="O146" s="20"/>
      <c r="P146" s="1978"/>
      <c r="Q146" s="1978"/>
      <c r="R146" s="20"/>
      <c r="S146" s="20"/>
      <c r="T146" s="1098"/>
      <c r="U146" s="1098"/>
      <c r="V146" s="1098"/>
      <c r="W146" s="1098"/>
      <c r="X146" s="1098"/>
      <c r="Y146" s="1098"/>
      <c r="Z146" s="1098"/>
      <c r="AA146" s="1098"/>
      <c r="AB146" s="1098"/>
      <c r="AC146" s="1098"/>
      <c r="AD146" s="1098"/>
      <c r="AE146" s="1098"/>
      <c r="AF146" s="1098"/>
      <c r="AG146" s="1098"/>
      <c r="AH146" s="1098"/>
      <c r="AI146" s="1098"/>
      <c r="AJ146" s="1098"/>
      <c r="AK146" s="1098"/>
      <c r="AL146" s="1098"/>
      <c r="AM146" s="1098"/>
      <c r="AN146" s="1098"/>
      <c r="AO146" s="1098"/>
      <c r="AP146" s="1098"/>
      <c r="AQ146" s="1098"/>
      <c r="AR146" s="1098"/>
      <c r="AS146" s="1098"/>
      <c r="AT146" s="1098"/>
      <c r="AU146" s="1098"/>
      <c r="AV146" s="1098"/>
      <c r="AW146" s="1098"/>
      <c r="AX146" s="1098"/>
      <c r="AY146" s="1098"/>
    </row>
    <row r="147" spans="1:51" ht="12.75" customHeight="1">
      <c r="A147" s="20"/>
      <c r="B147" s="1489" t="s">
        <v>87</v>
      </c>
      <c r="C147" s="156">
        <f>F$147</f>
        <v>364.68330134357007</v>
      </c>
      <c r="D147" s="1489">
        <v>0.62</v>
      </c>
      <c r="E147" s="156">
        <f>(H$147*I$147)/100</f>
        <v>6</v>
      </c>
      <c r="F147" s="156">
        <f>G$147/0.11983</f>
        <v>364.68330134357007</v>
      </c>
      <c r="G147" s="88">
        <v>43.7</v>
      </c>
      <c r="H147" s="1495">
        <v>100</v>
      </c>
      <c r="I147" s="1496">
        <v>6</v>
      </c>
      <c r="J147" s="1100"/>
      <c r="K147" s="1157">
        <v>50</v>
      </c>
      <c r="L147" s="1157">
        <v>58</v>
      </c>
      <c r="M147" s="1157">
        <v>62</v>
      </c>
      <c r="N147" s="1157"/>
      <c r="O147" s="20"/>
      <c r="P147" s="1100"/>
      <c r="Q147" s="1100"/>
      <c r="R147" s="20"/>
      <c r="S147" s="20"/>
      <c r="T147" s="1098"/>
      <c r="U147" s="1098"/>
      <c r="V147" s="1098"/>
      <c r="W147" s="1098"/>
      <c r="X147" s="1098"/>
      <c r="Y147" s="1098"/>
      <c r="Z147" s="1098"/>
      <c r="AA147" s="1098"/>
      <c r="AB147" s="1098"/>
      <c r="AC147" s="1098"/>
      <c r="AD147" s="1098"/>
      <c r="AE147" s="1098"/>
      <c r="AF147" s="1098"/>
      <c r="AG147" s="1098"/>
      <c r="AH147" s="1098"/>
      <c r="AI147" s="1098"/>
      <c r="AJ147" s="1098"/>
      <c r="AK147" s="1098"/>
      <c r="AL147" s="1098"/>
      <c r="AM147" s="1098"/>
      <c r="AN147" s="1098"/>
      <c r="AO147" s="1098"/>
      <c r="AP147" s="1098"/>
      <c r="AQ147" s="1098"/>
      <c r="AR147" s="1098"/>
      <c r="AS147" s="1098"/>
      <c r="AT147" s="1098"/>
      <c r="AU147" s="1098"/>
      <c r="AV147" s="1098"/>
      <c r="AW147" s="1098"/>
      <c r="AX147" s="1098"/>
      <c r="AY147" s="1098"/>
    </row>
    <row r="148" spans="1:51" ht="12.75" customHeight="1">
      <c r="A148" s="20"/>
      <c r="B148" s="1489" t="s">
        <v>273</v>
      </c>
      <c r="C148" s="156">
        <f t="shared" ref="C148:C155" si="55">F148*$C$25/100</f>
        <v>194.25</v>
      </c>
      <c r="D148" s="1489">
        <v>0.62</v>
      </c>
      <c r="E148" s="156">
        <f>(H$148*I$148)/100</f>
        <v>908.8</v>
      </c>
      <c r="F148" s="156">
        <f>G$148/0.11983</f>
        <v>259</v>
      </c>
      <c r="G148" s="89">
        <v>31.035970000000002</v>
      </c>
      <c r="H148" s="1495">
        <v>71</v>
      </c>
      <c r="I148" s="1489">
        <v>1280</v>
      </c>
      <c r="J148" s="1100"/>
      <c r="K148" s="1157">
        <v>10</v>
      </c>
      <c r="L148" s="1157">
        <v>13</v>
      </c>
      <c r="M148" s="1157">
        <v>15</v>
      </c>
      <c r="N148" s="1157"/>
      <c r="O148" s="20"/>
      <c r="P148" s="1100"/>
      <c r="Q148" s="1100"/>
      <c r="R148" s="20"/>
      <c r="S148" s="20"/>
      <c r="T148" s="1098"/>
      <c r="U148" s="1098"/>
      <c r="V148" s="1098"/>
      <c r="W148" s="1098"/>
      <c r="X148" s="1098"/>
      <c r="Y148" s="1098"/>
      <c r="Z148" s="1098"/>
      <c r="AA148" s="1098"/>
      <c r="AB148" s="1098"/>
      <c r="AC148" s="1098"/>
      <c r="AD148" s="1098"/>
      <c r="AE148" s="1098"/>
      <c r="AF148" s="1098"/>
      <c r="AG148" s="1098"/>
      <c r="AH148" s="1098"/>
      <c r="AI148" s="1098"/>
      <c r="AJ148" s="1098"/>
      <c r="AK148" s="1098"/>
      <c r="AL148" s="1098"/>
      <c r="AM148" s="1098"/>
      <c r="AN148" s="1098"/>
      <c r="AO148" s="1098"/>
      <c r="AP148" s="1098"/>
      <c r="AQ148" s="1098"/>
      <c r="AR148" s="1098"/>
      <c r="AS148" s="1098"/>
      <c r="AT148" s="1098"/>
      <c r="AU148" s="1098"/>
      <c r="AV148" s="1098"/>
      <c r="AW148" s="1098"/>
      <c r="AX148" s="1098"/>
      <c r="AY148" s="1098"/>
    </row>
    <row r="149" spans="1:51" ht="12.75" customHeight="1">
      <c r="A149" s="20"/>
      <c r="B149" s="1489" t="s">
        <v>88</v>
      </c>
      <c r="C149" s="156">
        <f t="shared" si="55"/>
        <v>206.25</v>
      </c>
      <c r="D149" s="1489">
        <v>0.62</v>
      </c>
      <c r="E149" s="156">
        <f>(H$149*I$149)/100</f>
        <v>24.85</v>
      </c>
      <c r="F149" s="156">
        <f>G$149/0.11983</f>
        <v>275</v>
      </c>
      <c r="G149" s="89">
        <v>32.953250000000004</v>
      </c>
      <c r="H149" s="1495">
        <v>71</v>
      </c>
      <c r="I149" s="1489">
        <v>35</v>
      </c>
      <c r="J149" s="1100"/>
      <c r="K149" s="1157">
        <v>10</v>
      </c>
      <c r="L149" s="1157">
        <v>13</v>
      </c>
      <c r="M149" s="1157">
        <v>15</v>
      </c>
      <c r="N149" s="1157"/>
      <c r="O149" s="20"/>
      <c r="P149" s="1100"/>
      <c r="Q149" s="1100"/>
      <c r="R149" s="20"/>
      <c r="S149" s="20"/>
      <c r="T149" s="1098"/>
      <c r="U149" s="1098"/>
      <c r="V149" s="1098"/>
      <c r="W149" s="1098"/>
      <c r="X149" s="1098"/>
      <c r="Y149" s="1098"/>
      <c r="Z149" s="1098"/>
      <c r="AA149" s="1098"/>
      <c r="AB149" s="1098"/>
      <c r="AC149" s="1098"/>
      <c r="AD149" s="1098"/>
      <c r="AE149" s="1098"/>
      <c r="AF149" s="1098"/>
      <c r="AG149" s="1098"/>
      <c r="AH149" s="1098"/>
      <c r="AI149" s="1098"/>
      <c r="AJ149" s="1098"/>
      <c r="AK149" s="1098"/>
      <c r="AL149" s="1098"/>
      <c r="AM149" s="1098"/>
      <c r="AN149" s="1098"/>
      <c r="AO149" s="1098"/>
      <c r="AP149" s="1098"/>
      <c r="AQ149" s="1098"/>
      <c r="AR149" s="1098"/>
      <c r="AS149" s="1098"/>
      <c r="AT149" s="1098"/>
      <c r="AU149" s="1098"/>
      <c r="AV149" s="1098"/>
      <c r="AW149" s="1098"/>
      <c r="AX149" s="1098"/>
      <c r="AY149" s="1098"/>
    </row>
    <row r="150" spans="1:51" ht="12.75" customHeight="1">
      <c r="A150" s="20"/>
      <c r="B150" s="1489" t="s">
        <v>89</v>
      </c>
      <c r="C150" s="156">
        <f t="shared" si="55"/>
        <v>201</v>
      </c>
      <c r="D150" s="1489">
        <v>0.62</v>
      </c>
      <c r="E150" s="156">
        <f>(H$150*I$150)/100</f>
        <v>3.04</v>
      </c>
      <c r="F150" s="156">
        <f>G$150/0.11983</f>
        <v>268</v>
      </c>
      <c r="G150" s="89">
        <v>32.114440000000002</v>
      </c>
      <c r="H150" s="1495">
        <v>76</v>
      </c>
      <c r="I150" s="1496">
        <v>4</v>
      </c>
      <c r="J150" s="1100"/>
      <c r="K150" s="1157">
        <v>10</v>
      </c>
      <c r="L150" s="1157">
        <v>13</v>
      </c>
      <c r="M150" s="1157">
        <v>15</v>
      </c>
      <c r="N150" s="1157"/>
      <c r="O150" s="20"/>
      <c r="P150" s="1100"/>
      <c r="Q150" s="1100"/>
      <c r="R150" s="20"/>
      <c r="S150" s="20"/>
      <c r="T150" s="1098"/>
      <c r="U150" s="1098"/>
      <c r="V150" s="1098"/>
      <c r="W150" s="1098"/>
      <c r="X150" s="1098"/>
      <c r="Y150" s="1098"/>
      <c r="Z150" s="1098"/>
      <c r="AA150" s="1098"/>
      <c r="AB150" s="1098"/>
      <c r="AC150" s="1098"/>
      <c r="AD150" s="1098"/>
      <c r="AE150" s="1098"/>
      <c r="AF150" s="1098"/>
      <c r="AG150" s="1098"/>
      <c r="AH150" s="1098"/>
      <c r="AI150" s="1098"/>
      <c r="AJ150" s="1098"/>
      <c r="AK150" s="1098"/>
      <c r="AL150" s="1098"/>
      <c r="AM150" s="1098"/>
      <c r="AN150" s="1098"/>
      <c r="AO150" s="1098"/>
      <c r="AP150" s="1098"/>
      <c r="AQ150" s="1098"/>
      <c r="AR150" s="1098"/>
      <c r="AS150" s="1098"/>
      <c r="AT150" s="1098"/>
      <c r="AU150" s="1098"/>
      <c r="AV150" s="1098"/>
      <c r="AW150" s="1098"/>
      <c r="AX150" s="1098"/>
      <c r="AY150" s="1098"/>
    </row>
    <row r="151" spans="1:51" ht="12.75" customHeight="1">
      <c r="A151" s="20"/>
      <c r="B151" s="1489" t="s">
        <v>274</v>
      </c>
      <c r="C151" s="156">
        <f t="shared" si="55"/>
        <v>213.75</v>
      </c>
      <c r="D151" s="1489">
        <v>0.62</v>
      </c>
      <c r="E151" s="156">
        <f>(H$151*I$151)/100</f>
        <v>763.2</v>
      </c>
      <c r="F151" s="156">
        <f>G$151/0.11983</f>
        <v>285</v>
      </c>
      <c r="G151" s="89">
        <v>34.15155</v>
      </c>
      <c r="H151" s="1495">
        <v>72</v>
      </c>
      <c r="I151" s="1489">
        <v>1060</v>
      </c>
      <c r="J151" s="1100"/>
      <c r="K151" s="1157">
        <v>5</v>
      </c>
      <c r="L151" s="1157">
        <v>7</v>
      </c>
      <c r="M151" s="1157">
        <v>8</v>
      </c>
      <c r="N151" s="1157"/>
      <c r="O151" s="20"/>
      <c r="P151" s="1100"/>
      <c r="Q151" s="1100"/>
      <c r="R151" s="20"/>
      <c r="S151" s="20"/>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98"/>
      <c r="AO151" s="1098"/>
      <c r="AP151" s="1098"/>
      <c r="AQ151" s="1098"/>
      <c r="AR151" s="1098"/>
      <c r="AS151" s="1098"/>
      <c r="AT151" s="1098"/>
      <c r="AU151" s="1098"/>
      <c r="AV151" s="1098"/>
      <c r="AW151" s="1098"/>
      <c r="AX151" s="1098"/>
      <c r="AY151" s="1098"/>
    </row>
    <row r="152" spans="1:51" ht="12.75" customHeight="1">
      <c r="A152" s="20"/>
      <c r="B152" s="1489" t="s">
        <v>275</v>
      </c>
      <c r="C152" s="156">
        <f t="shared" si="55"/>
        <v>212.25</v>
      </c>
      <c r="D152" s="1489">
        <v>0.62</v>
      </c>
      <c r="E152" s="156">
        <f>(H$152*I$152)/100</f>
        <v>77.7</v>
      </c>
      <c r="F152" s="156">
        <f>G$152/0.11983</f>
        <v>283</v>
      </c>
      <c r="G152" s="89">
        <v>33.91189</v>
      </c>
      <c r="H152" s="1495">
        <v>74</v>
      </c>
      <c r="I152" s="1489">
        <v>105</v>
      </c>
      <c r="J152" s="1100"/>
      <c r="K152" s="1157">
        <v>20</v>
      </c>
      <c r="L152" s="1157">
        <v>26</v>
      </c>
      <c r="M152" s="1157">
        <v>29</v>
      </c>
      <c r="N152" s="1157"/>
      <c r="O152" s="20"/>
      <c r="P152" s="1100"/>
      <c r="Q152" s="1100"/>
      <c r="R152" s="20"/>
      <c r="S152" s="20"/>
      <c r="T152" s="1098"/>
      <c r="U152" s="1098"/>
      <c r="V152" s="1098"/>
      <c r="W152" s="1098"/>
      <c r="X152" s="1098"/>
      <c r="Y152" s="1098"/>
      <c r="Z152" s="1098"/>
      <c r="AA152" s="1098"/>
      <c r="AB152" s="1098"/>
      <c r="AC152" s="1098"/>
      <c r="AD152" s="1098"/>
      <c r="AE152" s="1098"/>
      <c r="AF152" s="1098"/>
      <c r="AG152" s="1098"/>
      <c r="AH152" s="1098"/>
      <c r="AI152" s="1098"/>
      <c r="AJ152" s="1098"/>
      <c r="AK152" s="1098"/>
      <c r="AL152" s="1098"/>
      <c r="AM152" s="1098"/>
      <c r="AN152" s="1098"/>
      <c r="AO152" s="1098"/>
      <c r="AP152" s="1098"/>
      <c r="AQ152" s="1098"/>
      <c r="AR152" s="1098"/>
      <c r="AS152" s="1098"/>
      <c r="AT152" s="1098"/>
      <c r="AU152" s="1098"/>
      <c r="AV152" s="1098"/>
      <c r="AW152" s="1098"/>
      <c r="AX152" s="1098"/>
      <c r="AY152" s="1098"/>
    </row>
    <row r="153" spans="1:51" ht="12.75" customHeight="1">
      <c r="A153" s="20"/>
      <c r="B153" s="1489" t="s">
        <v>277</v>
      </c>
      <c r="C153" s="156">
        <f t="shared" si="55"/>
        <v>204</v>
      </c>
      <c r="D153" s="1489">
        <v>0.62</v>
      </c>
      <c r="E153" s="156">
        <f>(H$153*I$153)/100</f>
        <v>103.6</v>
      </c>
      <c r="F153" s="156">
        <f>G$153/0.11983</f>
        <v>272</v>
      </c>
      <c r="G153" s="89">
        <v>32.593760000000003</v>
      </c>
      <c r="H153" s="1495">
        <v>74</v>
      </c>
      <c r="I153" s="1489">
        <v>140</v>
      </c>
      <c r="J153" s="1100"/>
      <c r="K153" s="1157">
        <v>20</v>
      </c>
      <c r="L153" s="1157">
        <v>26</v>
      </c>
      <c r="M153" s="1157">
        <v>29</v>
      </c>
      <c r="N153" s="1157"/>
      <c r="O153" s="20"/>
      <c r="P153" s="1100"/>
      <c r="Q153" s="1100"/>
      <c r="R153" s="20"/>
      <c r="S153" s="20"/>
      <c r="T153" s="1098"/>
      <c r="U153" s="1098"/>
      <c r="V153" s="1098"/>
      <c r="W153" s="1098"/>
      <c r="X153" s="1098"/>
      <c r="Y153" s="1098"/>
      <c r="Z153" s="1098"/>
      <c r="AA153" s="1098"/>
      <c r="AB153" s="1098"/>
      <c r="AC153" s="1098"/>
      <c r="AD153" s="1098"/>
      <c r="AE153" s="1098"/>
      <c r="AF153" s="1098"/>
      <c r="AG153" s="1098"/>
      <c r="AH153" s="1098"/>
      <c r="AI153" s="1098"/>
      <c r="AJ153" s="1098"/>
      <c r="AK153" s="1098"/>
      <c r="AL153" s="1098"/>
      <c r="AM153" s="1098"/>
      <c r="AN153" s="1098"/>
      <c r="AO153" s="1098"/>
      <c r="AP153" s="1098"/>
      <c r="AQ153" s="1098"/>
      <c r="AR153" s="1098"/>
      <c r="AS153" s="1098"/>
      <c r="AT153" s="1098"/>
      <c r="AU153" s="1098"/>
      <c r="AV153" s="1098"/>
      <c r="AW153" s="1098"/>
      <c r="AX153" s="1098"/>
      <c r="AY153" s="1098"/>
    </row>
    <row r="154" spans="1:51" ht="12.75" customHeight="1">
      <c r="A154" s="20"/>
      <c r="B154" s="1489" t="s">
        <v>278</v>
      </c>
      <c r="C154" s="156">
        <f t="shared" si="55"/>
        <v>203.25</v>
      </c>
      <c r="D154" s="1489">
        <v>0.62</v>
      </c>
      <c r="E154" s="156">
        <f>(H$154*I$154)/100</f>
        <v>148</v>
      </c>
      <c r="F154" s="156">
        <f>G$154/0.11983</f>
        <v>271</v>
      </c>
      <c r="G154" s="89">
        <v>32.473930000000003</v>
      </c>
      <c r="H154" s="1495">
        <v>74</v>
      </c>
      <c r="I154" s="1489">
        <v>200</v>
      </c>
      <c r="J154" s="1100"/>
      <c r="K154" s="1157">
        <v>20</v>
      </c>
      <c r="L154" s="1157">
        <v>26</v>
      </c>
      <c r="M154" s="1157">
        <v>29</v>
      </c>
      <c r="N154" s="1157"/>
      <c r="O154" s="20"/>
      <c r="P154" s="1158"/>
      <c r="Q154" s="1100"/>
      <c r="R154" s="20"/>
      <c r="S154" s="20"/>
      <c r="T154" s="1098"/>
      <c r="U154" s="1098"/>
      <c r="V154" s="1098"/>
      <c r="W154" s="1098"/>
      <c r="X154" s="1098"/>
      <c r="Y154" s="1098"/>
      <c r="Z154" s="1098"/>
      <c r="AA154" s="1098"/>
      <c r="AB154" s="1098"/>
      <c r="AC154" s="1098"/>
      <c r="AD154" s="1098"/>
      <c r="AE154" s="1098"/>
      <c r="AF154" s="1098"/>
      <c r="AG154" s="1098"/>
      <c r="AH154" s="1098"/>
      <c r="AI154" s="1098"/>
      <c r="AJ154" s="1098"/>
      <c r="AK154" s="1098"/>
      <c r="AL154" s="1098"/>
      <c r="AM154" s="1098"/>
      <c r="AN154" s="1098"/>
      <c r="AO154" s="1098"/>
      <c r="AP154" s="1098"/>
      <c r="AQ154" s="1098"/>
      <c r="AR154" s="1098"/>
      <c r="AS154" s="1098"/>
      <c r="AT154" s="1098"/>
      <c r="AU154" s="1098"/>
      <c r="AV154" s="1098"/>
      <c r="AW154" s="1098"/>
      <c r="AX154" s="1098"/>
      <c r="AY154" s="1098"/>
    </row>
    <row r="155" spans="1:51" ht="12.75" customHeight="1">
      <c r="A155" s="20"/>
      <c r="B155" s="1489" t="s">
        <v>279</v>
      </c>
      <c r="C155" s="156">
        <f t="shared" si="55"/>
        <v>207</v>
      </c>
      <c r="D155" s="1489">
        <v>0.62</v>
      </c>
      <c r="E155" s="156">
        <f>(H$155*I$155)/100</f>
        <v>902.8</v>
      </c>
      <c r="F155" s="156">
        <f>G$155/0.11983</f>
        <v>276</v>
      </c>
      <c r="G155" s="89">
        <v>33.073080000000004</v>
      </c>
      <c r="H155" s="1495">
        <v>74</v>
      </c>
      <c r="I155" s="1489">
        <v>1220</v>
      </c>
      <c r="J155" s="1100"/>
      <c r="K155" s="1157">
        <v>10</v>
      </c>
      <c r="L155" s="1157">
        <v>13</v>
      </c>
      <c r="M155" s="1157">
        <v>15</v>
      </c>
      <c r="N155" s="1157"/>
      <c r="O155" s="20"/>
      <c r="P155" s="1158"/>
      <c r="Q155" s="1100"/>
      <c r="R155" s="20"/>
      <c r="S155" s="20"/>
      <c r="T155" s="1098"/>
      <c r="U155" s="1098"/>
      <c r="V155" s="1098"/>
      <c r="W155" s="1098"/>
      <c r="X155" s="1098"/>
      <c r="Y155" s="1098"/>
      <c r="Z155" s="1098"/>
      <c r="AA155" s="1098"/>
      <c r="AB155" s="1098"/>
      <c r="AC155" s="1098"/>
      <c r="AD155" s="1098"/>
      <c r="AE155" s="1098"/>
      <c r="AF155" s="1098"/>
      <c r="AG155" s="1098"/>
      <c r="AH155" s="1098"/>
      <c r="AI155" s="1098"/>
      <c r="AJ155" s="1098"/>
      <c r="AK155" s="1098"/>
      <c r="AL155" s="1098"/>
      <c r="AM155" s="1098"/>
      <c r="AN155" s="1098"/>
      <c r="AO155" s="1098"/>
      <c r="AP155" s="1098"/>
      <c r="AQ155" s="1098"/>
      <c r="AR155" s="1098"/>
      <c r="AS155" s="1098"/>
      <c r="AT155" s="1098"/>
      <c r="AU155" s="1098"/>
      <c r="AV155" s="1098"/>
      <c r="AW155" s="1098"/>
      <c r="AX155" s="1098"/>
      <c r="AY155" s="1098"/>
    </row>
    <row r="156" spans="1:51" ht="12.75" customHeight="1">
      <c r="A156" s="20"/>
      <c r="B156" s="1125"/>
      <c r="C156" s="1498"/>
      <c r="D156" s="537"/>
      <c r="E156" s="537"/>
      <c r="F156" s="1122"/>
      <c r="G156" s="1121"/>
      <c r="H156" s="1323"/>
      <c r="I156" s="539"/>
      <c r="J156" s="1100"/>
      <c r="K156" s="1100"/>
      <c r="L156" s="1100"/>
      <c r="M156" s="1100"/>
      <c r="N156" s="1100"/>
      <c r="O156" s="20"/>
      <c r="P156" s="1100"/>
      <c r="Q156" s="1100"/>
      <c r="R156" s="20"/>
      <c r="S156" s="20"/>
      <c r="T156" s="1098"/>
      <c r="U156" s="1098"/>
      <c r="V156" s="1098"/>
      <c r="W156" s="1098"/>
      <c r="X156" s="1098"/>
      <c r="Y156" s="1098"/>
      <c r="Z156" s="1098"/>
      <c r="AA156" s="1098"/>
      <c r="AB156" s="1098"/>
      <c r="AC156" s="1098"/>
      <c r="AD156" s="1098"/>
      <c r="AE156" s="1098"/>
      <c r="AF156" s="1098"/>
      <c r="AG156" s="1098"/>
      <c r="AH156" s="1098"/>
      <c r="AI156" s="1098"/>
      <c r="AJ156" s="1098"/>
      <c r="AK156" s="1098"/>
      <c r="AL156" s="1098"/>
      <c r="AM156" s="1098"/>
      <c r="AN156" s="1098"/>
      <c r="AO156" s="1098"/>
      <c r="AP156" s="1098"/>
      <c r="AQ156" s="1098"/>
      <c r="AR156" s="1098"/>
      <c r="AS156" s="1098"/>
      <c r="AT156" s="1098"/>
      <c r="AU156" s="1098"/>
      <c r="AV156" s="1098"/>
      <c r="AW156" s="1098"/>
      <c r="AX156" s="1098"/>
      <c r="AY156" s="1098"/>
    </row>
    <row r="157" spans="1:51" ht="12.75" customHeight="1">
      <c r="A157" s="20"/>
      <c r="B157" s="1489" t="s">
        <v>281</v>
      </c>
      <c r="C157" s="21">
        <f>F$157</f>
        <v>370</v>
      </c>
      <c r="D157" s="1489">
        <v>1</v>
      </c>
      <c r="E157" s="156">
        <f>(H$157*I$157)/100</f>
        <v>16</v>
      </c>
      <c r="F157" s="156">
        <f>G$157/0.11983</f>
        <v>370</v>
      </c>
      <c r="G157" s="89">
        <v>44.3371</v>
      </c>
      <c r="H157" s="1495">
        <v>100</v>
      </c>
      <c r="I157" s="1489">
        <v>16</v>
      </c>
      <c r="J157" s="1100"/>
      <c r="K157" s="1157"/>
      <c r="L157" s="1100"/>
      <c r="M157" s="1100"/>
      <c r="N157" s="1100"/>
      <c r="O157" s="20"/>
      <c r="P157" s="1100"/>
      <c r="Q157" s="1100"/>
      <c r="R157" s="20"/>
      <c r="S157" s="20"/>
      <c r="T157" s="1098"/>
      <c r="U157" s="1098"/>
      <c r="V157" s="1098"/>
      <c r="W157" s="1098"/>
      <c r="X157" s="1098"/>
      <c r="Y157" s="1098"/>
      <c r="Z157" s="1098"/>
      <c r="AA157" s="1098"/>
      <c r="AB157" s="1098"/>
      <c r="AC157" s="1098"/>
      <c r="AD157" s="1098"/>
      <c r="AE157" s="1098"/>
      <c r="AF157" s="1098"/>
      <c r="AG157" s="1098"/>
      <c r="AH157" s="1098"/>
      <c r="AI157" s="1098"/>
      <c r="AJ157" s="1098"/>
      <c r="AK157" s="1098"/>
      <c r="AL157" s="1098"/>
      <c r="AM157" s="1098"/>
      <c r="AN157" s="1098"/>
      <c r="AO157" s="1098"/>
      <c r="AP157" s="1098"/>
      <c r="AQ157" s="1098"/>
      <c r="AR157" s="1098"/>
      <c r="AS157" s="1098"/>
      <c r="AT157" s="1098"/>
      <c r="AU157" s="1098"/>
      <c r="AV157" s="1098"/>
      <c r="AW157" s="1098"/>
      <c r="AX157" s="1098"/>
      <c r="AY157" s="1098"/>
    </row>
    <row r="158" spans="1:51" ht="12.75" customHeight="1">
      <c r="A158" s="20"/>
      <c r="B158" s="1489" t="s">
        <v>90</v>
      </c>
      <c r="C158" s="21">
        <f>F$158</f>
        <v>370</v>
      </c>
      <c r="D158" s="1489">
        <v>1</v>
      </c>
      <c r="E158" s="156">
        <f>(H$155*I$158)/100</f>
        <v>33.299999999999997</v>
      </c>
      <c r="F158" s="156">
        <f>G$158/0.11983</f>
        <v>370</v>
      </c>
      <c r="G158" s="89">
        <v>44.3371</v>
      </c>
      <c r="H158" s="1495">
        <v>100</v>
      </c>
      <c r="I158" s="1489">
        <v>45</v>
      </c>
      <c r="J158" s="20"/>
      <c r="K158" s="1159"/>
      <c r="L158" s="20"/>
      <c r="M158" s="20"/>
      <c r="N158" s="20"/>
      <c r="O158" s="20"/>
      <c r="P158" s="20"/>
      <c r="Q158" s="20"/>
      <c r="R158" s="20"/>
      <c r="S158" s="20"/>
      <c r="T158" s="1098"/>
      <c r="U158" s="1098"/>
      <c r="V158" s="1098"/>
      <c r="W158" s="1098"/>
      <c r="X158" s="1098"/>
      <c r="Y158" s="1098"/>
      <c r="Z158" s="1098"/>
      <c r="AA158" s="1098"/>
      <c r="AB158" s="1098"/>
      <c r="AC158" s="1098"/>
      <c r="AD158" s="1098"/>
      <c r="AE158" s="1098"/>
      <c r="AF158" s="1098"/>
      <c r="AG158" s="1098"/>
      <c r="AH158" s="1098"/>
      <c r="AI158" s="1098"/>
      <c r="AJ158" s="1098"/>
      <c r="AK158" s="1098"/>
      <c r="AL158" s="1098"/>
      <c r="AM158" s="1098"/>
      <c r="AN158" s="1098"/>
      <c r="AO158" s="1098"/>
      <c r="AP158" s="1098"/>
      <c r="AQ158" s="1098"/>
      <c r="AR158" s="1098"/>
      <c r="AS158" s="1098"/>
      <c r="AT158" s="1098"/>
      <c r="AU158" s="1098"/>
      <c r="AV158" s="1098"/>
      <c r="AW158" s="1098"/>
      <c r="AX158" s="1098"/>
      <c r="AY158" s="1098"/>
    </row>
    <row r="159" spans="1:51" ht="12.75" customHeight="1">
      <c r="A159" s="20"/>
      <c r="B159" s="1489" t="s">
        <v>91</v>
      </c>
      <c r="C159" s="21">
        <f>F$159</f>
        <v>370</v>
      </c>
      <c r="D159" s="1489">
        <v>1</v>
      </c>
      <c r="E159" s="156">
        <f>(H$159*I$159)/100</f>
        <v>90</v>
      </c>
      <c r="F159" s="156">
        <f>G$159/0.11983</f>
        <v>370</v>
      </c>
      <c r="G159" s="89">
        <v>44.3371</v>
      </c>
      <c r="H159" s="1495">
        <v>100</v>
      </c>
      <c r="I159" s="1489">
        <v>90</v>
      </c>
      <c r="J159" s="20"/>
      <c r="K159" s="1159"/>
      <c r="L159" s="20"/>
      <c r="M159" s="20"/>
      <c r="N159" s="20"/>
      <c r="O159" s="20"/>
      <c r="P159" s="20"/>
      <c r="Q159" s="20"/>
      <c r="R159" s="20"/>
      <c r="S159" s="20"/>
      <c r="T159" s="1098"/>
      <c r="U159" s="1098"/>
      <c r="V159" s="1098"/>
      <c r="W159" s="1098"/>
      <c r="X159" s="1098"/>
      <c r="Y159" s="1098"/>
      <c r="Z159" s="1098"/>
      <c r="AA159" s="1098"/>
      <c r="AB159" s="1098"/>
      <c r="AC159" s="1098"/>
      <c r="AD159" s="1098"/>
      <c r="AE159" s="1098"/>
      <c r="AF159" s="1098"/>
      <c r="AG159" s="1098"/>
      <c r="AH159" s="1098"/>
      <c r="AI159" s="1098"/>
      <c r="AJ159" s="1098"/>
      <c r="AK159" s="1098"/>
      <c r="AL159" s="1098"/>
      <c r="AM159" s="1098"/>
      <c r="AN159" s="1098"/>
      <c r="AO159" s="1098"/>
      <c r="AP159" s="1098"/>
      <c r="AQ159" s="1098"/>
      <c r="AR159" s="1098"/>
      <c r="AS159" s="1098"/>
      <c r="AT159" s="1098"/>
      <c r="AU159" s="1098"/>
      <c r="AV159" s="1098"/>
      <c r="AW159" s="1098"/>
      <c r="AX159" s="1098"/>
      <c r="AY159" s="1098"/>
    </row>
    <row r="160" spans="1:51" ht="12.75" customHeight="1">
      <c r="A160" s="20"/>
      <c r="B160" s="1489" t="s">
        <v>280</v>
      </c>
      <c r="C160" s="21">
        <f>F$160</f>
        <v>375</v>
      </c>
      <c r="D160" s="1489">
        <v>1</v>
      </c>
      <c r="E160" s="156">
        <f>(H$160*I$160)/100</f>
        <v>0</v>
      </c>
      <c r="F160" s="156">
        <f>G$160/0.11983</f>
        <v>375</v>
      </c>
      <c r="G160" s="89">
        <v>44.936250000000001</v>
      </c>
      <c r="H160" s="1495">
        <v>100</v>
      </c>
      <c r="I160" s="1489"/>
      <c r="J160" s="20"/>
      <c r="K160" s="1159"/>
      <c r="L160" s="20"/>
      <c r="M160" s="20"/>
      <c r="N160" s="20"/>
      <c r="O160" s="20"/>
      <c r="P160" s="20"/>
      <c r="Q160" s="20"/>
      <c r="R160" s="20"/>
      <c r="S160" s="20"/>
      <c r="T160" s="1098"/>
      <c r="U160" s="1098"/>
      <c r="V160" s="1098"/>
      <c r="W160" s="1098"/>
      <c r="X160" s="1098"/>
      <c r="Y160" s="1098"/>
      <c r="Z160" s="1098"/>
      <c r="AA160" s="1098"/>
      <c r="AB160" s="1098"/>
      <c r="AC160" s="1098"/>
      <c r="AD160" s="1098"/>
      <c r="AE160" s="1098"/>
      <c r="AF160" s="1098"/>
      <c r="AG160" s="1098"/>
      <c r="AH160" s="1098"/>
      <c r="AI160" s="1098"/>
      <c r="AJ160" s="1098"/>
      <c r="AK160" s="1098"/>
      <c r="AL160" s="1098"/>
      <c r="AM160" s="1098"/>
      <c r="AN160" s="1098"/>
      <c r="AO160" s="1098"/>
      <c r="AP160" s="1098"/>
      <c r="AQ160" s="1098"/>
      <c r="AR160" s="1098"/>
      <c r="AS160" s="1098"/>
      <c r="AT160" s="1098"/>
      <c r="AU160" s="1098"/>
      <c r="AV160" s="1098"/>
      <c r="AW160" s="1098"/>
      <c r="AX160" s="1098"/>
      <c r="AY160" s="1098"/>
    </row>
    <row r="161" spans="1:51" ht="12.75" customHeight="1">
      <c r="A161" s="20"/>
      <c r="B161" s="52" t="s">
        <v>125</v>
      </c>
      <c r="C161" s="21">
        <f>F$161</f>
        <v>319</v>
      </c>
      <c r="D161" s="1489">
        <v>0.8</v>
      </c>
      <c r="E161" s="156">
        <f>(H$161*I$161)/100</f>
        <v>0</v>
      </c>
      <c r="F161" s="156">
        <f>G$161/0.11983</f>
        <v>319</v>
      </c>
      <c r="G161" s="89">
        <v>38.225770000000004</v>
      </c>
      <c r="H161" s="1495">
        <v>100</v>
      </c>
      <c r="I161" s="1489"/>
      <c r="J161" s="20"/>
      <c r="K161" s="1499"/>
      <c r="L161" s="20"/>
      <c r="M161" s="20"/>
      <c r="N161" s="20"/>
      <c r="O161" s="20"/>
      <c r="P161" s="20"/>
      <c r="Q161" s="20"/>
      <c r="R161" s="20"/>
      <c r="S161" s="20"/>
      <c r="T161" s="1098"/>
      <c r="U161" s="1098"/>
      <c r="V161" s="1098"/>
      <c r="W161" s="1098"/>
      <c r="X161" s="1098"/>
      <c r="Y161" s="1098"/>
      <c r="Z161" s="1098"/>
      <c r="AA161" s="1098"/>
      <c r="AB161" s="1098"/>
      <c r="AC161" s="1098"/>
      <c r="AD161" s="1098"/>
      <c r="AE161" s="1098"/>
      <c r="AF161" s="1098"/>
      <c r="AG161" s="1098"/>
      <c r="AH161" s="1098"/>
      <c r="AI161" s="1098"/>
      <c r="AJ161" s="1098"/>
      <c r="AK161" s="1098"/>
      <c r="AL161" s="1098"/>
      <c r="AM161" s="1098"/>
      <c r="AN161" s="1098"/>
      <c r="AO161" s="1098"/>
      <c r="AP161" s="1098"/>
      <c r="AQ161" s="1098"/>
      <c r="AR161" s="1098"/>
      <c r="AS161" s="1098"/>
      <c r="AT161" s="1098"/>
      <c r="AU161" s="1098"/>
      <c r="AV161" s="1098"/>
      <c r="AW161" s="1098"/>
      <c r="AX161" s="1098"/>
      <c r="AY161" s="1098"/>
    </row>
    <row r="162" spans="1:51" ht="12.75" customHeight="1">
      <c r="A162" s="20"/>
      <c r="B162" s="1489" t="s">
        <v>282</v>
      </c>
      <c r="C162" s="21">
        <f>F$162</f>
        <v>319</v>
      </c>
      <c r="D162" s="1489">
        <v>0.85</v>
      </c>
      <c r="E162" s="156">
        <f>(H$162*I$162)/100</f>
        <v>0</v>
      </c>
      <c r="F162" s="156">
        <f>G$162/0.11983</f>
        <v>319</v>
      </c>
      <c r="G162" s="89">
        <v>38.225770000000004</v>
      </c>
      <c r="H162" s="1495">
        <v>100</v>
      </c>
      <c r="I162" s="1489"/>
      <c r="J162" s="20"/>
      <c r="K162" s="1499"/>
      <c r="L162" s="20"/>
      <c r="M162" s="20"/>
      <c r="N162" s="20"/>
      <c r="O162" s="20"/>
      <c r="P162" s="20"/>
      <c r="Q162" s="20"/>
      <c r="R162" s="20"/>
      <c r="S162" s="20"/>
      <c r="T162" s="1098"/>
      <c r="U162" s="1098"/>
      <c r="V162" s="1098"/>
      <c r="W162" s="1098"/>
      <c r="X162" s="1098"/>
      <c r="Y162" s="1098"/>
      <c r="Z162" s="1098"/>
      <c r="AA162" s="1098"/>
      <c r="AB162" s="1098"/>
      <c r="AC162" s="1098"/>
      <c r="AD162" s="1098"/>
      <c r="AE162" s="1098"/>
      <c r="AF162" s="1098"/>
      <c r="AG162" s="1098"/>
      <c r="AH162" s="1098"/>
      <c r="AI162" s="1098"/>
      <c r="AJ162" s="1098"/>
      <c r="AK162" s="1098"/>
      <c r="AL162" s="1098"/>
      <c r="AM162" s="1098"/>
      <c r="AN162" s="1098"/>
      <c r="AO162" s="1098"/>
      <c r="AP162" s="1098"/>
      <c r="AQ162" s="1098"/>
      <c r="AR162" s="1098"/>
      <c r="AS162" s="1098"/>
      <c r="AT162" s="1098"/>
      <c r="AU162" s="1098"/>
      <c r="AV162" s="1098"/>
      <c r="AW162" s="1098"/>
      <c r="AX162" s="1098"/>
      <c r="AY162" s="1098"/>
    </row>
    <row r="163" spans="1:51" ht="12.75" customHeight="1">
      <c r="A163" s="20"/>
      <c r="B163" s="1500" t="s">
        <v>283</v>
      </c>
      <c r="C163" s="21">
        <f>F$163</f>
        <v>380</v>
      </c>
      <c r="D163" s="1489">
        <v>0</v>
      </c>
      <c r="E163" s="156">
        <f>(H$163*I$163)/100</f>
        <v>30</v>
      </c>
      <c r="F163" s="156">
        <f>G$163/0.11983</f>
        <v>380</v>
      </c>
      <c r="G163" s="89">
        <v>45.535400000000003</v>
      </c>
      <c r="H163" s="1495">
        <v>100</v>
      </c>
      <c r="I163" s="1489">
        <v>30</v>
      </c>
      <c r="J163" s="3420" t="s">
        <v>92</v>
      </c>
      <c r="K163" s="3420"/>
      <c r="L163" s="3420"/>
      <c r="M163" s="3420"/>
      <c r="N163" s="3420"/>
      <c r="O163" s="20"/>
      <c r="P163" s="1978"/>
      <c r="Q163" s="1978"/>
      <c r="R163" s="20"/>
      <c r="S163" s="20"/>
      <c r="T163" s="1098"/>
      <c r="U163" s="1098"/>
      <c r="V163" s="1098"/>
      <c r="W163" s="1098"/>
      <c r="X163" s="1098"/>
      <c r="Y163" s="1098"/>
      <c r="Z163" s="1098"/>
      <c r="AA163" s="1098"/>
      <c r="AB163" s="1098"/>
      <c r="AC163" s="1098"/>
      <c r="AD163" s="1098"/>
      <c r="AE163" s="1098"/>
      <c r="AF163" s="1098"/>
      <c r="AG163" s="1098"/>
      <c r="AH163" s="1098"/>
      <c r="AI163" s="1098"/>
      <c r="AJ163" s="1098"/>
      <c r="AK163" s="1098"/>
      <c r="AL163" s="1098"/>
      <c r="AM163" s="1098"/>
      <c r="AN163" s="1098"/>
      <c r="AO163" s="1098"/>
      <c r="AP163" s="1098"/>
      <c r="AQ163" s="1098"/>
      <c r="AR163" s="1098"/>
      <c r="AS163" s="1098"/>
      <c r="AT163" s="1098"/>
      <c r="AU163" s="1098"/>
      <c r="AV163" s="1098"/>
      <c r="AW163" s="1098"/>
      <c r="AX163" s="1098"/>
      <c r="AY163" s="1098"/>
    </row>
    <row r="164" spans="1:51" ht="12.75" customHeight="1">
      <c r="A164" s="20"/>
      <c r="B164" s="1489" t="s">
        <v>93</v>
      </c>
      <c r="C164" s="21">
        <f>F$164</f>
        <v>319</v>
      </c>
      <c r="D164" s="1489">
        <v>0.35</v>
      </c>
      <c r="E164" s="156">
        <f>(H$164*I$164)/100</f>
        <v>0</v>
      </c>
      <c r="F164" s="156">
        <f>G$164/0.11983</f>
        <v>319</v>
      </c>
      <c r="G164" s="89">
        <v>38.225770000000004</v>
      </c>
      <c r="H164" s="1495">
        <v>100</v>
      </c>
      <c r="I164" s="1489"/>
      <c r="J164" s="3420" t="s">
        <v>94</v>
      </c>
      <c r="K164" s="3420"/>
      <c r="L164" s="3420"/>
      <c r="M164" s="3420"/>
      <c r="N164" s="3420"/>
      <c r="O164" s="20"/>
      <c r="P164" s="1978"/>
      <c r="Q164" s="1978"/>
      <c r="R164" s="20"/>
      <c r="S164" s="20"/>
      <c r="T164" s="1098"/>
      <c r="U164" s="1098"/>
      <c r="V164" s="1098"/>
      <c r="W164" s="1098"/>
      <c r="X164" s="1098"/>
      <c r="Y164" s="1098"/>
      <c r="Z164" s="1098"/>
      <c r="AA164" s="1098"/>
      <c r="AB164" s="1098"/>
      <c r="AC164" s="1098"/>
      <c r="AD164" s="1098"/>
      <c r="AE164" s="1098"/>
      <c r="AF164" s="1098"/>
      <c r="AG164" s="1098"/>
      <c r="AH164" s="1098"/>
      <c r="AI164" s="1098"/>
      <c r="AJ164" s="1098"/>
      <c r="AK164" s="1098"/>
      <c r="AL164" s="1098"/>
      <c r="AM164" s="1098"/>
      <c r="AN164" s="1098"/>
      <c r="AO164" s="1098"/>
      <c r="AP164" s="1098"/>
      <c r="AQ164" s="1098"/>
      <c r="AR164" s="1098"/>
      <c r="AS164" s="1098"/>
      <c r="AT164" s="1098"/>
      <c r="AU164" s="1098"/>
      <c r="AV164" s="1098"/>
      <c r="AW164" s="1098"/>
      <c r="AX164" s="1098"/>
      <c r="AY164" s="1098"/>
    </row>
    <row r="165" spans="1:51" ht="12.75" customHeight="1">
      <c r="A165" s="20"/>
      <c r="B165" s="1098"/>
      <c r="C165" s="1098"/>
      <c r="D165" s="20"/>
      <c r="E165" s="20"/>
      <c r="F165" s="1123"/>
      <c r="G165" s="1123"/>
      <c r="H165" s="1501"/>
      <c r="I165" s="537"/>
      <c r="J165" s="1100"/>
      <c r="K165" s="1319">
        <v>30</v>
      </c>
      <c r="L165" s="1319">
        <v>39</v>
      </c>
      <c r="M165" s="1319">
        <v>44</v>
      </c>
      <c r="N165" s="1319"/>
      <c r="O165" s="20"/>
      <c r="P165" s="1100"/>
      <c r="Q165" s="1100"/>
      <c r="R165" s="20"/>
      <c r="S165" s="20"/>
      <c r="T165" s="1098"/>
      <c r="U165" s="1098"/>
      <c r="V165" s="1098"/>
      <c r="W165" s="1098"/>
      <c r="X165" s="1098"/>
      <c r="Y165" s="1098"/>
      <c r="Z165" s="1098"/>
      <c r="AA165" s="1098"/>
      <c r="AB165" s="1098"/>
      <c r="AC165" s="1098"/>
      <c r="AD165" s="1098"/>
      <c r="AE165" s="1098"/>
      <c r="AF165" s="1098"/>
      <c r="AG165" s="1098"/>
      <c r="AH165" s="1098"/>
      <c r="AI165" s="1098"/>
      <c r="AJ165" s="1098"/>
      <c r="AK165" s="1098"/>
      <c r="AL165" s="1098"/>
      <c r="AM165" s="1098"/>
      <c r="AN165" s="1098"/>
      <c r="AO165" s="1098"/>
      <c r="AP165" s="1098"/>
      <c r="AQ165" s="1098"/>
      <c r="AR165" s="1098"/>
      <c r="AS165" s="1098"/>
      <c r="AT165" s="1098"/>
      <c r="AU165" s="1098"/>
      <c r="AV165" s="1098"/>
      <c r="AW165" s="1098"/>
      <c r="AX165" s="1098"/>
      <c r="AY165" s="1098"/>
    </row>
    <row r="166" spans="1:51" ht="12.75" customHeight="1">
      <c r="A166" s="20"/>
      <c r="B166" s="1489" t="s">
        <v>95</v>
      </c>
      <c r="C166" s="21">
        <f>F$166</f>
        <v>279</v>
      </c>
      <c r="D166" s="1489">
        <v>0.75</v>
      </c>
      <c r="E166" s="156">
        <f>(H$166*I$166)/100</f>
        <v>0</v>
      </c>
      <c r="F166" s="156">
        <f>G$166/0.11983</f>
        <v>279</v>
      </c>
      <c r="G166" s="89">
        <v>33.432569999999998</v>
      </c>
      <c r="H166" s="1502"/>
      <c r="I166" s="156">
        <f>(G166*H166)/100</f>
        <v>0</v>
      </c>
      <c r="J166" s="1100"/>
      <c r="K166" s="1100"/>
      <c r="L166" s="1100"/>
      <c r="M166" s="1100"/>
      <c r="N166" s="1100"/>
      <c r="O166" s="20"/>
      <c r="P166" s="1100"/>
      <c r="Q166" s="1100"/>
      <c r="R166" s="20"/>
      <c r="S166" s="20"/>
      <c r="T166" s="1098"/>
      <c r="U166" s="1098"/>
      <c r="V166" s="1098"/>
      <c r="W166" s="1098"/>
      <c r="X166" s="1098"/>
      <c r="Y166" s="1098"/>
      <c r="Z166" s="1098"/>
      <c r="AA166" s="1098"/>
      <c r="AB166" s="1098"/>
      <c r="AC166" s="1098"/>
      <c r="AD166" s="1098"/>
      <c r="AE166" s="1098"/>
      <c r="AF166" s="1098"/>
      <c r="AG166" s="1098"/>
      <c r="AH166" s="1098"/>
      <c r="AI166" s="1098"/>
      <c r="AJ166" s="1098"/>
      <c r="AK166" s="1098"/>
      <c r="AL166" s="1098"/>
      <c r="AM166" s="1098"/>
      <c r="AN166" s="1098"/>
      <c r="AO166" s="1098"/>
      <c r="AP166" s="1098"/>
      <c r="AQ166" s="1098"/>
      <c r="AR166" s="1098"/>
      <c r="AS166" s="1098"/>
      <c r="AT166" s="1098"/>
      <c r="AU166" s="1098"/>
      <c r="AV166" s="1098"/>
      <c r="AW166" s="1098"/>
      <c r="AX166" s="1098"/>
      <c r="AY166" s="1098"/>
    </row>
    <row r="167" spans="1:51" ht="12.75" customHeight="1">
      <c r="A167" s="20"/>
      <c r="B167" s="1489" t="s">
        <v>96</v>
      </c>
      <c r="C167" s="21">
        <f>F$167</f>
        <v>300</v>
      </c>
      <c r="D167" s="1489">
        <v>0.8</v>
      </c>
      <c r="E167" s="156">
        <f>(H$167*I$167)/100</f>
        <v>0</v>
      </c>
      <c r="F167" s="156">
        <f>G$167/0.11983</f>
        <v>300</v>
      </c>
      <c r="G167" s="89">
        <v>35.949000000000005</v>
      </c>
      <c r="H167" s="1502"/>
      <c r="I167" s="156">
        <f>(G167*H167)/100</f>
        <v>0</v>
      </c>
      <c r="J167" s="1100"/>
      <c r="K167" s="1100"/>
      <c r="L167" s="1100"/>
      <c r="M167" s="1100"/>
      <c r="N167" s="1100"/>
      <c r="O167" s="20"/>
      <c r="P167" s="1100"/>
      <c r="Q167" s="1100"/>
      <c r="R167" s="20"/>
      <c r="S167" s="20"/>
      <c r="T167" s="1098"/>
      <c r="U167" s="1098"/>
      <c r="V167" s="1098"/>
      <c r="W167" s="1098"/>
      <c r="X167" s="1098"/>
      <c r="Y167" s="1098"/>
      <c r="Z167" s="1098"/>
      <c r="AA167" s="1098"/>
      <c r="AB167" s="1098"/>
      <c r="AC167" s="1098"/>
      <c r="AD167" s="1098"/>
      <c r="AE167" s="1098"/>
      <c r="AF167" s="1098"/>
      <c r="AG167" s="1098"/>
      <c r="AH167" s="1098"/>
      <c r="AI167" s="1098"/>
      <c r="AJ167" s="1098"/>
      <c r="AK167" s="1098"/>
      <c r="AL167" s="1098"/>
      <c r="AM167" s="1098"/>
      <c r="AN167" s="1098"/>
      <c r="AO167" s="1098"/>
      <c r="AP167" s="1098"/>
      <c r="AQ167" s="1098"/>
      <c r="AR167" s="1098"/>
      <c r="AS167" s="1098"/>
      <c r="AT167" s="1098"/>
      <c r="AU167" s="1098"/>
      <c r="AV167" s="1098"/>
      <c r="AW167" s="1098"/>
      <c r="AX167" s="1098"/>
      <c r="AY167" s="1098"/>
    </row>
    <row r="168" spans="1:51" ht="12.75" customHeight="1">
      <c r="A168" s="20"/>
      <c r="B168" s="1489" t="s">
        <v>97</v>
      </c>
      <c r="C168" s="21">
        <f>F$168</f>
        <v>300</v>
      </c>
      <c r="D168" s="1489">
        <v>0.75</v>
      </c>
      <c r="E168" s="156">
        <f>(H$168*I$168)/100</f>
        <v>0</v>
      </c>
      <c r="F168" s="156">
        <f>G$168/0.11983</f>
        <v>300</v>
      </c>
      <c r="G168" s="89">
        <v>35.949000000000005</v>
      </c>
      <c r="H168" s="1502"/>
      <c r="I168" s="156">
        <f>(G168*H168)/100</f>
        <v>0</v>
      </c>
      <c r="J168" s="20"/>
      <c r="K168" s="1100"/>
      <c r="L168" s="1100"/>
      <c r="M168" s="1100"/>
      <c r="N168" s="1100"/>
      <c r="O168" s="1100"/>
      <c r="P168" s="1100"/>
      <c r="Q168" s="1100"/>
      <c r="R168" s="20"/>
      <c r="S168" s="20"/>
      <c r="T168" s="1098"/>
      <c r="U168" s="1098"/>
      <c r="V168" s="1098"/>
      <c r="W168" s="1098"/>
      <c r="X168" s="1098"/>
      <c r="Y168" s="1098"/>
      <c r="Z168" s="1098"/>
      <c r="AA168" s="1098"/>
      <c r="AB168" s="1098"/>
      <c r="AC168" s="1098"/>
      <c r="AD168" s="1098"/>
      <c r="AE168" s="1098"/>
      <c r="AF168" s="1098"/>
      <c r="AG168" s="1098"/>
      <c r="AH168" s="1098"/>
      <c r="AI168" s="1098"/>
      <c r="AJ168" s="1098"/>
      <c r="AK168" s="1098"/>
      <c r="AL168" s="1098"/>
      <c r="AM168" s="1098"/>
      <c r="AN168" s="1098"/>
      <c r="AO168" s="1098"/>
      <c r="AP168" s="1098"/>
      <c r="AQ168" s="1098"/>
      <c r="AR168" s="1098"/>
      <c r="AS168" s="1098"/>
      <c r="AT168" s="1098"/>
      <c r="AU168" s="1098"/>
      <c r="AV168" s="1098"/>
      <c r="AW168" s="1098"/>
      <c r="AX168" s="1098"/>
      <c r="AY168" s="1098"/>
    </row>
    <row r="169" spans="1:51" ht="12.75" customHeight="1">
      <c r="A169" s="20"/>
      <c r="B169" s="1125"/>
      <c r="C169" s="1125"/>
      <c r="D169" s="20"/>
      <c r="E169" s="20"/>
      <c r="F169" s="1123"/>
      <c r="G169" s="1124"/>
      <c r="H169" s="1503"/>
      <c r="I169" s="537"/>
      <c r="J169" s="20"/>
      <c r="K169" s="1100"/>
      <c r="L169" s="1100"/>
      <c r="M169" s="1100"/>
      <c r="N169" s="1100"/>
      <c r="O169" s="1100"/>
      <c r="P169" s="1100"/>
      <c r="Q169" s="1100"/>
      <c r="R169" s="20"/>
      <c r="S169" s="20"/>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s="1098"/>
      <c r="AV169" s="1098"/>
      <c r="AW169" s="1098"/>
      <c r="AX169" s="1098"/>
      <c r="AY169" s="1098"/>
    </row>
    <row r="170" spans="1:51" ht="12.75" customHeight="1">
      <c r="A170" s="20"/>
      <c r="B170" s="1489" t="s">
        <v>63</v>
      </c>
      <c r="C170" s="156">
        <f t="shared" ref="C170:C178" si="56">F170*$C$25/100</f>
        <v>195</v>
      </c>
      <c r="D170" s="1489">
        <v>0.62</v>
      </c>
      <c r="E170" s="156">
        <f>(H$170*I$170)/100</f>
        <v>1.7749999999999999</v>
      </c>
      <c r="F170" s="156">
        <f>G$170/0.11983</f>
        <v>260</v>
      </c>
      <c r="G170" s="89">
        <v>31.155800000000003</v>
      </c>
      <c r="H170" s="1495">
        <v>71</v>
      </c>
      <c r="I170" s="1496">
        <v>2.5</v>
      </c>
      <c r="J170" s="1100"/>
      <c r="K170" s="1157">
        <v>20</v>
      </c>
      <c r="L170" s="1157">
        <v>26</v>
      </c>
      <c r="M170" s="1157">
        <v>29</v>
      </c>
      <c r="N170" s="1157"/>
      <c r="O170" s="20"/>
      <c r="P170" s="1100"/>
      <c r="Q170" s="1100"/>
      <c r="R170" s="20"/>
      <c r="S170" s="20"/>
      <c r="T170" s="1098"/>
      <c r="U170" s="1098"/>
      <c r="V170" s="1098"/>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s="1098"/>
      <c r="AV170" s="1098"/>
      <c r="AW170" s="1098"/>
      <c r="AX170" s="1098"/>
      <c r="AY170" s="1098"/>
    </row>
    <row r="171" spans="1:51" ht="12.75" customHeight="1">
      <c r="A171" s="20"/>
      <c r="B171" s="1489" t="s">
        <v>64</v>
      </c>
      <c r="C171" s="156">
        <f t="shared" si="56"/>
        <v>234.75</v>
      </c>
      <c r="D171" s="1489">
        <v>0.62</v>
      </c>
      <c r="E171" s="156">
        <f>(H$171*I$171)/100</f>
        <v>0.71</v>
      </c>
      <c r="F171" s="156">
        <f>G$171/0.11983</f>
        <v>313</v>
      </c>
      <c r="G171" s="89">
        <v>37.506790000000002</v>
      </c>
      <c r="H171" s="1495">
        <v>71</v>
      </c>
      <c r="I171" s="1496">
        <v>1</v>
      </c>
      <c r="J171" s="1100"/>
      <c r="K171" s="1157"/>
      <c r="L171" s="1100"/>
      <c r="M171" s="1100"/>
      <c r="N171" s="1100"/>
      <c r="O171" s="20"/>
      <c r="P171" s="1100"/>
      <c r="Q171" s="1100"/>
      <c r="R171" s="20"/>
      <c r="S171" s="20"/>
      <c r="T171" s="1098"/>
      <c r="U171" s="1098"/>
      <c r="V171" s="1098"/>
      <c r="W171" s="1098"/>
      <c r="X171" s="1098"/>
      <c r="Y171" s="1098"/>
      <c r="Z171" s="1098"/>
      <c r="AA171" s="1098"/>
      <c r="AB171" s="1098"/>
      <c r="AC171" s="1098"/>
      <c r="AD171" s="1098"/>
      <c r="AE171" s="1098"/>
      <c r="AF171" s="1098"/>
      <c r="AG171" s="1098"/>
      <c r="AH171" s="1098"/>
      <c r="AI171" s="1098"/>
      <c r="AJ171" s="1098"/>
      <c r="AK171" s="1098"/>
      <c r="AL171" s="1098"/>
      <c r="AM171" s="1098"/>
      <c r="AN171" s="1098"/>
      <c r="AO171" s="1098"/>
      <c r="AP171" s="1098"/>
      <c r="AQ171" s="1098"/>
      <c r="AR171" s="1098"/>
      <c r="AS171" s="1098"/>
      <c r="AT171" s="1098"/>
      <c r="AU171" s="1098"/>
      <c r="AV171" s="1098"/>
      <c r="AW171" s="1098"/>
      <c r="AX171" s="1098"/>
      <c r="AY171" s="1098"/>
    </row>
    <row r="172" spans="1:51" ht="12.75" customHeight="1">
      <c r="A172" s="20"/>
      <c r="B172" s="1489" t="s">
        <v>98</v>
      </c>
      <c r="C172" s="156">
        <f t="shared" si="56"/>
        <v>232.5</v>
      </c>
      <c r="D172" s="1489">
        <v>0.62</v>
      </c>
      <c r="E172" s="156">
        <f>(H$172*I$172)/100</f>
        <v>0</v>
      </c>
      <c r="F172" s="156">
        <f>G$172/0.11983</f>
        <v>310</v>
      </c>
      <c r="G172" s="89">
        <v>37.147300000000001</v>
      </c>
      <c r="H172" s="1495">
        <v>71</v>
      </c>
      <c r="I172" s="1496"/>
      <c r="J172" s="1100"/>
      <c r="K172" s="1157"/>
      <c r="L172" s="1100"/>
      <c r="M172" s="1100"/>
      <c r="N172" s="1100"/>
      <c r="O172" s="20"/>
      <c r="P172" s="1100"/>
      <c r="Q172" s="1100"/>
      <c r="R172" s="20"/>
      <c r="S172" s="20"/>
      <c r="T172" s="1098"/>
      <c r="U172" s="1098"/>
      <c r="V172" s="1098"/>
      <c r="W172" s="1098"/>
      <c r="X172" s="1098"/>
      <c r="Y172" s="1098"/>
      <c r="Z172" s="1098"/>
      <c r="AA172" s="1098"/>
      <c r="AB172" s="1098"/>
      <c r="AC172" s="1098"/>
      <c r="AD172" s="1098"/>
      <c r="AE172" s="1098"/>
      <c r="AF172" s="1098"/>
      <c r="AG172" s="1098"/>
      <c r="AH172" s="1098"/>
      <c r="AI172" s="1098"/>
      <c r="AJ172" s="1098"/>
      <c r="AK172" s="1098"/>
      <c r="AL172" s="1098"/>
      <c r="AM172" s="1098"/>
      <c r="AN172" s="1098"/>
      <c r="AO172" s="1098"/>
      <c r="AP172" s="1098"/>
      <c r="AQ172" s="1098"/>
      <c r="AR172" s="1098"/>
      <c r="AS172" s="1098"/>
      <c r="AT172" s="1098"/>
      <c r="AU172" s="1098"/>
      <c r="AV172" s="1098"/>
      <c r="AW172" s="1098"/>
      <c r="AX172" s="1098"/>
      <c r="AY172" s="1098"/>
    </row>
    <row r="173" spans="1:51" ht="12.75" customHeight="1">
      <c r="A173" s="20"/>
      <c r="B173" s="1489" t="s">
        <v>99</v>
      </c>
      <c r="C173" s="156">
        <f t="shared" si="56"/>
        <v>195</v>
      </c>
      <c r="D173" s="1489">
        <v>0.62</v>
      </c>
      <c r="E173" s="156">
        <f>(H$173*I$173)/100</f>
        <v>2.13</v>
      </c>
      <c r="F173" s="156">
        <f>G$173/0.11983</f>
        <v>260</v>
      </c>
      <c r="G173" s="89">
        <v>31.155800000000003</v>
      </c>
      <c r="H173" s="1495">
        <v>71</v>
      </c>
      <c r="I173" s="1496">
        <v>3</v>
      </c>
      <c r="J173" s="1100"/>
      <c r="K173" s="1157"/>
      <c r="L173" s="1100"/>
      <c r="M173" s="1100"/>
      <c r="N173" s="1100"/>
      <c r="O173" s="20"/>
      <c r="P173" s="1100"/>
      <c r="Q173" s="1100"/>
      <c r="R173" s="20"/>
      <c r="S173" s="20"/>
      <c r="T173" s="1098"/>
      <c r="U173" s="1098"/>
      <c r="V173" s="1098"/>
      <c r="W173" s="1098"/>
      <c r="X173" s="1098"/>
      <c r="Y173" s="1098"/>
      <c r="Z173" s="1098"/>
      <c r="AA173" s="1098"/>
      <c r="AB173" s="1098"/>
      <c r="AC173" s="1098"/>
      <c r="AD173" s="1098"/>
      <c r="AE173" s="1098"/>
      <c r="AF173" s="1098"/>
      <c r="AG173" s="1098"/>
      <c r="AH173" s="1098"/>
      <c r="AI173" s="1098"/>
      <c r="AJ173" s="1098"/>
      <c r="AK173" s="1098"/>
      <c r="AL173" s="1098"/>
      <c r="AM173" s="1098"/>
      <c r="AN173" s="1098"/>
      <c r="AO173" s="1098"/>
      <c r="AP173" s="1098"/>
      <c r="AQ173" s="1098"/>
      <c r="AR173" s="1098"/>
      <c r="AS173" s="1098"/>
      <c r="AT173" s="1098"/>
      <c r="AU173" s="1098"/>
      <c r="AV173" s="1098"/>
      <c r="AW173" s="1098"/>
      <c r="AX173" s="1098"/>
      <c r="AY173" s="1098"/>
    </row>
    <row r="174" spans="1:51" ht="12.75" customHeight="1">
      <c r="A174" s="20"/>
      <c r="B174" s="1489" t="s">
        <v>100</v>
      </c>
      <c r="C174" s="156">
        <f t="shared" si="56"/>
        <v>183.75</v>
      </c>
      <c r="D174" s="1489">
        <v>0.62</v>
      </c>
      <c r="E174" s="156">
        <f>(H$174*I$174)/100</f>
        <v>1.0649999999999999</v>
      </c>
      <c r="F174" s="156">
        <f>G$174/0.11983</f>
        <v>245</v>
      </c>
      <c r="G174" s="89">
        <v>29.358350000000002</v>
      </c>
      <c r="H174" s="1495">
        <v>71</v>
      </c>
      <c r="I174" s="1496">
        <v>1.5</v>
      </c>
      <c r="J174" s="3420" t="s">
        <v>101</v>
      </c>
      <c r="K174" s="3420"/>
      <c r="L174" s="3420"/>
      <c r="M174" s="3420"/>
      <c r="N174" s="3420"/>
      <c r="O174" s="20"/>
      <c r="P174" s="1978"/>
      <c r="Q174" s="1978"/>
      <c r="R174" s="20"/>
      <c r="S174" s="20"/>
      <c r="T174" s="1098"/>
      <c r="U174" s="1098"/>
      <c r="V174" s="1098"/>
      <c r="W174" s="1098"/>
      <c r="X174" s="1098"/>
      <c r="Y174" s="1098"/>
      <c r="Z174" s="1098"/>
      <c r="AA174" s="1098"/>
      <c r="AB174" s="1098"/>
      <c r="AC174" s="1098"/>
      <c r="AD174" s="1098"/>
      <c r="AE174" s="1098"/>
      <c r="AF174" s="1098"/>
      <c r="AG174" s="1098"/>
      <c r="AH174" s="1098"/>
      <c r="AI174" s="1098"/>
      <c r="AJ174" s="1098"/>
      <c r="AK174" s="1098"/>
      <c r="AL174" s="1098"/>
      <c r="AM174" s="1098"/>
      <c r="AN174" s="1098"/>
      <c r="AO174" s="1098"/>
      <c r="AP174" s="1098"/>
      <c r="AQ174" s="1098"/>
      <c r="AR174" s="1098"/>
      <c r="AS174" s="1098"/>
      <c r="AT174" s="1098"/>
      <c r="AU174" s="1098"/>
      <c r="AV174" s="1098"/>
      <c r="AW174" s="1098"/>
      <c r="AX174" s="1098"/>
      <c r="AY174" s="1098"/>
    </row>
    <row r="175" spans="1:51" ht="12.75" customHeight="1">
      <c r="A175" s="20"/>
      <c r="B175" s="1489" t="s">
        <v>102</v>
      </c>
      <c r="C175" s="156">
        <f t="shared" si="56"/>
        <v>216</v>
      </c>
      <c r="D175" s="1489">
        <v>0.62</v>
      </c>
      <c r="E175" s="156">
        <f>(H$175*I$175)/100</f>
        <v>2.84</v>
      </c>
      <c r="F175" s="156">
        <f>G$175/0.11983</f>
        <v>288</v>
      </c>
      <c r="G175" s="89">
        <v>34.511040000000001</v>
      </c>
      <c r="H175" s="1495">
        <v>71</v>
      </c>
      <c r="I175" s="1496">
        <v>4</v>
      </c>
      <c r="J175" s="3420" t="s">
        <v>103</v>
      </c>
      <c r="K175" s="3420"/>
      <c r="L175" s="3420"/>
      <c r="M175" s="3420"/>
      <c r="N175" s="3420"/>
      <c r="O175" s="20"/>
      <c r="P175" s="1978"/>
      <c r="Q175" s="1978"/>
      <c r="R175" s="20"/>
      <c r="S175" s="20"/>
      <c r="T175" s="1098"/>
      <c r="U175" s="1098"/>
      <c r="V175" s="1098"/>
      <c r="W175" s="1098"/>
      <c r="X175" s="1098"/>
      <c r="Y175" s="1098"/>
      <c r="Z175" s="1098"/>
      <c r="AA175" s="1098"/>
      <c r="AB175" s="1098"/>
      <c r="AC175" s="1098"/>
      <c r="AD175" s="1098"/>
      <c r="AE175" s="1098"/>
      <c r="AF175" s="1098"/>
      <c r="AG175" s="1098"/>
      <c r="AH175" s="1098"/>
      <c r="AI175" s="1098"/>
      <c r="AJ175" s="1098"/>
      <c r="AK175" s="1098"/>
      <c r="AL175" s="1098"/>
      <c r="AM175" s="1098"/>
      <c r="AN175" s="1098"/>
      <c r="AO175" s="1098"/>
      <c r="AP175" s="1098"/>
      <c r="AQ175" s="1098"/>
      <c r="AR175" s="1098"/>
      <c r="AS175" s="1098"/>
      <c r="AT175" s="1098"/>
      <c r="AU175" s="1098"/>
      <c r="AV175" s="1098"/>
      <c r="AW175" s="1098"/>
      <c r="AX175" s="1098"/>
      <c r="AY175" s="1098"/>
    </row>
    <row r="176" spans="1:51" ht="12.75" customHeight="1">
      <c r="A176" s="20"/>
      <c r="B176" s="1489" t="s">
        <v>104</v>
      </c>
      <c r="C176" s="156">
        <f t="shared" si="56"/>
        <v>129.75</v>
      </c>
      <c r="D176" s="1489">
        <v>0.62</v>
      </c>
      <c r="E176" s="156">
        <f>(H$176*I$176)/100</f>
        <v>0</v>
      </c>
      <c r="F176" s="156">
        <f>G$176/0.11983</f>
        <v>173</v>
      </c>
      <c r="G176" s="89">
        <v>20.730589999999999</v>
      </c>
      <c r="H176" s="1495">
        <v>71</v>
      </c>
      <c r="I176" s="1496"/>
      <c r="J176" s="1100"/>
      <c r="K176" s="1157"/>
      <c r="L176" s="1100"/>
      <c r="M176" s="1100"/>
      <c r="N176" s="1100"/>
      <c r="O176" s="20"/>
      <c r="P176" s="1100"/>
      <c r="Q176" s="1125"/>
      <c r="R176" s="1098"/>
      <c r="S176" s="1098"/>
      <c r="T176" s="1098"/>
      <c r="U176" s="1098"/>
      <c r="V176" s="1098"/>
      <c r="W176" s="1098"/>
      <c r="X176" s="1098"/>
      <c r="Y176" s="1098"/>
      <c r="Z176" s="1098"/>
      <c r="AA176" s="1098"/>
      <c r="AB176" s="1098"/>
      <c r="AC176" s="1098"/>
      <c r="AD176" s="1098"/>
      <c r="AE176" s="1098"/>
      <c r="AF176" s="1098"/>
      <c r="AG176" s="1098"/>
      <c r="AH176" s="1098"/>
      <c r="AI176" s="1098"/>
      <c r="AJ176" s="1098"/>
      <c r="AK176" s="1098"/>
      <c r="AL176" s="1098"/>
      <c r="AM176" s="1098"/>
      <c r="AN176" s="1098"/>
      <c r="AO176" s="1098"/>
      <c r="AP176" s="1098"/>
      <c r="AQ176" s="1098"/>
      <c r="AR176" s="1098"/>
      <c r="AS176" s="1098"/>
      <c r="AT176" s="1098"/>
      <c r="AU176" s="1098"/>
      <c r="AV176" s="1098"/>
      <c r="AW176" s="1098"/>
      <c r="AX176" s="1098"/>
      <c r="AY176" s="1098"/>
    </row>
    <row r="177" spans="1:52" ht="12.75" customHeight="1">
      <c r="A177" s="20"/>
      <c r="B177" s="1489" t="s">
        <v>105</v>
      </c>
      <c r="C177" s="156">
        <f t="shared" si="56"/>
        <v>228</v>
      </c>
      <c r="D177" s="1489">
        <v>0.62</v>
      </c>
      <c r="E177" s="156">
        <f>(H$177*I$177)/100</f>
        <v>0</v>
      </c>
      <c r="F177" s="156">
        <f>G$177/0.11983</f>
        <v>304</v>
      </c>
      <c r="G177" s="89">
        <v>36.428319999999999</v>
      </c>
      <c r="H177" s="1495">
        <v>71</v>
      </c>
      <c r="I177" s="1496"/>
      <c r="J177" s="1100"/>
      <c r="K177" s="1157"/>
      <c r="L177" s="1100"/>
      <c r="M177" s="1100"/>
      <c r="N177" s="1100"/>
      <c r="O177" s="20"/>
      <c r="P177" s="1100"/>
      <c r="Q177" s="1125"/>
      <c r="R177" s="1098"/>
      <c r="S177" s="1098"/>
      <c r="T177" s="1098"/>
      <c r="U177" s="1098"/>
      <c r="V177" s="1098"/>
      <c r="W177" s="1098"/>
      <c r="X177" s="1098"/>
      <c r="Y177" s="1098"/>
      <c r="Z177" s="1098"/>
      <c r="AA177" s="1098"/>
      <c r="AB177" s="1098"/>
      <c r="AC177" s="1098"/>
      <c r="AD177" s="1098"/>
      <c r="AE177" s="1098"/>
      <c r="AF177" s="1098"/>
      <c r="AG177" s="1098"/>
      <c r="AH177" s="1098"/>
      <c r="AI177" s="1098"/>
      <c r="AJ177" s="1098"/>
      <c r="AK177" s="1098"/>
      <c r="AL177" s="1098"/>
      <c r="AM177" s="1098"/>
      <c r="AN177" s="1098"/>
      <c r="AO177" s="1098"/>
      <c r="AP177" s="1098"/>
      <c r="AQ177" s="1098"/>
      <c r="AR177" s="1098"/>
      <c r="AS177" s="1098"/>
      <c r="AT177" s="1098"/>
      <c r="AU177" s="1098"/>
      <c r="AV177" s="1098"/>
      <c r="AW177" s="1098"/>
      <c r="AX177" s="1098"/>
      <c r="AY177" s="1098"/>
    </row>
    <row r="178" spans="1:52" ht="12.75" customHeight="1">
      <c r="A178" s="20"/>
      <c r="B178" s="1489" t="s">
        <v>106</v>
      </c>
      <c r="C178" s="156">
        <f t="shared" si="56"/>
        <v>228.75</v>
      </c>
      <c r="D178" s="1489">
        <v>0.62</v>
      </c>
      <c r="E178" s="156">
        <f>(H$178*I$178)/100</f>
        <v>2.13</v>
      </c>
      <c r="F178" s="156">
        <f>G$178/0.11983</f>
        <v>305</v>
      </c>
      <c r="G178" s="89">
        <v>36.54815</v>
      </c>
      <c r="H178" s="1495">
        <v>71</v>
      </c>
      <c r="I178" s="1496">
        <v>3</v>
      </c>
      <c r="J178" s="1100"/>
      <c r="K178" s="1157">
        <v>15</v>
      </c>
      <c r="L178" s="1157">
        <v>20</v>
      </c>
      <c r="M178" s="1157">
        <v>23</v>
      </c>
      <c r="N178" s="1157"/>
      <c r="O178" s="20"/>
      <c r="P178" s="1100"/>
      <c r="Q178" s="1125"/>
      <c r="R178" s="1098"/>
      <c r="S178" s="1098"/>
      <c r="T178" s="1098"/>
      <c r="U178" s="1098"/>
      <c r="V178" s="1098"/>
      <c r="W178" s="1098"/>
      <c r="X178" s="1098"/>
      <c r="Y178" s="1098"/>
      <c r="Z178" s="1098"/>
      <c r="AA178" s="1098"/>
      <c r="AB178" s="1098"/>
      <c r="AC178" s="1098"/>
      <c r="AD178" s="1098"/>
      <c r="AE178" s="1098"/>
      <c r="AF178" s="1098"/>
      <c r="AG178" s="1098"/>
      <c r="AH178" s="1098"/>
      <c r="AI178" s="1098"/>
      <c r="AJ178" s="1098"/>
      <c r="AK178" s="1098"/>
      <c r="AL178" s="1098"/>
      <c r="AM178" s="1098"/>
      <c r="AN178" s="1098"/>
      <c r="AO178" s="1098"/>
      <c r="AP178" s="1098"/>
      <c r="AQ178" s="1098"/>
      <c r="AR178" s="1098"/>
      <c r="AS178" s="1098"/>
      <c r="AT178" s="1098"/>
      <c r="AU178" s="1098"/>
      <c r="AV178" s="1098"/>
      <c r="AW178" s="1098"/>
      <c r="AX178" s="1098"/>
      <c r="AY178" s="1098"/>
    </row>
    <row r="179" spans="1:52" ht="12.75" customHeight="1">
      <c r="A179" s="20"/>
      <c r="B179" s="1125"/>
      <c r="C179" s="1100"/>
      <c r="D179" s="1100"/>
      <c r="E179" s="1100"/>
      <c r="F179" s="1100"/>
      <c r="G179" s="1100"/>
      <c r="H179" s="1504"/>
      <c r="I179" s="1100"/>
      <c r="J179" s="20"/>
      <c r="K179" s="20"/>
      <c r="L179" s="20"/>
      <c r="M179" s="20"/>
      <c r="N179" s="20"/>
      <c r="O179" s="20"/>
      <c r="P179" s="20"/>
      <c r="Q179" s="20"/>
      <c r="R179" s="20"/>
      <c r="S179" s="20"/>
      <c r="T179" s="1098"/>
      <c r="U179" s="1098"/>
      <c r="V179" s="1098"/>
      <c r="W179" s="1098"/>
      <c r="X179" s="1098"/>
      <c r="Y179" s="1098"/>
      <c r="Z179" s="1098"/>
      <c r="AA179" s="1098"/>
      <c r="AB179" s="1098"/>
      <c r="AC179" s="1098"/>
      <c r="AD179" s="1098"/>
      <c r="AE179" s="1098"/>
      <c r="AF179" s="1098"/>
      <c r="AG179" s="1098"/>
      <c r="AH179" s="1098"/>
      <c r="AI179" s="1098"/>
      <c r="AJ179" s="1098"/>
      <c r="AK179" s="1098"/>
      <c r="AL179" s="1098"/>
      <c r="AM179" s="1098"/>
      <c r="AN179" s="1098"/>
      <c r="AO179" s="1098"/>
      <c r="AP179" s="1098"/>
      <c r="AQ179" s="1098"/>
      <c r="AR179" s="1098"/>
      <c r="AS179" s="1098"/>
      <c r="AT179" s="1098"/>
      <c r="AU179" s="1098"/>
      <c r="AV179" s="1098"/>
      <c r="AW179" s="1098"/>
      <c r="AX179" s="1098"/>
      <c r="AY179" s="1098"/>
    </row>
    <row r="180" spans="1:52" ht="12.75" customHeight="1">
      <c r="A180" s="20"/>
      <c r="B180" s="1100" t="s">
        <v>107</v>
      </c>
      <c r="C180" s="1126" t="s">
        <v>0</v>
      </c>
      <c r="D180" s="1127"/>
      <c r="E180" s="1100"/>
      <c r="F180" s="1100"/>
      <c r="G180" s="1128"/>
      <c r="H180" s="1504"/>
      <c r="I180" s="1081"/>
      <c r="J180" s="20"/>
      <c r="K180" s="1129" t="s">
        <v>108</v>
      </c>
      <c r="L180" s="1129" t="s">
        <v>109</v>
      </c>
      <c r="M180" s="20"/>
      <c r="N180" s="1019"/>
      <c r="O180" s="1019"/>
      <c r="P180" s="20"/>
      <c r="Q180" s="20"/>
      <c r="R180" s="20"/>
      <c r="S180" s="20"/>
      <c r="T180" s="1098"/>
      <c r="U180" s="1098"/>
      <c r="V180" s="1098"/>
      <c r="W180" s="1098"/>
      <c r="X180" s="1098"/>
      <c r="Y180" s="1098"/>
      <c r="Z180" s="1098"/>
      <c r="AA180" s="1098"/>
      <c r="AB180" s="1098"/>
      <c r="AC180" s="1098"/>
      <c r="AD180" s="1098"/>
      <c r="AE180" s="1098"/>
      <c r="AF180" s="1098"/>
      <c r="AG180" s="1098"/>
      <c r="AH180" s="1098"/>
      <c r="AI180" s="1098"/>
      <c r="AJ180" s="1098"/>
      <c r="AK180" s="1098"/>
      <c r="AL180" s="1098"/>
      <c r="AM180" s="1098"/>
      <c r="AN180" s="1098"/>
      <c r="AO180" s="1098"/>
      <c r="AP180" s="1098"/>
      <c r="AQ180" s="1098"/>
      <c r="AR180" s="1098"/>
      <c r="AS180" s="1098"/>
      <c r="AT180" s="1098"/>
      <c r="AU180" s="1098"/>
      <c r="AV180" s="1098"/>
      <c r="AW180" s="1098"/>
      <c r="AX180" s="1098"/>
      <c r="AY180" s="1098"/>
    </row>
    <row r="181" spans="1:52" ht="12.75" customHeight="1">
      <c r="A181" s="20"/>
      <c r="B181" s="25" t="s">
        <v>110</v>
      </c>
      <c r="C181" s="21">
        <f>F$181</f>
        <v>360</v>
      </c>
      <c r="D181" s="26">
        <v>0.8</v>
      </c>
      <c r="E181" s="156">
        <f>(H$181*I$181)/100</f>
        <v>17.5</v>
      </c>
      <c r="F181" s="156">
        <f>G$181/0.11983</f>
        <v>360</v>
      </c>
      <c r="G181" s="90">
        <v>43.138800000000003</v>
      </c>
      <c r="H181" s="1495">
        <v>100</v>
      </c>
      <c r="I181" s="27">
        <f>(L181+M181)/2</f>
        <v>17.5</v>
      </c>
      <c r="J181" s="20"/>
      <c r="K181" s="1130">
        <v>25</v>
      </c>
      <c r="L181" s="1130">
        <v>35</v>
      </c>
      <c r="M181" s="20"/>
      <c r="N181" s="1019"/>
      <c r="O181" s="1019"/>
      <c r="P181" s="1019"/>
      <c r="Q181" s="20"/>
      <c r="R181" s="20"/>
      <c r="S181" s="20"/>
      <c r="T181" s="1098"/>
      <c r="U181" s="1098"/>
      <c r="V181" s="1098"/>
      <c r="W181" s="1098"/>
      <c r="X181" s="1098"/>
      <c r="Y181" s="1098"/>
      <c r="Z181" s="1098"/>
      <c r="AA181" s="1098"/>
      <c r="AB181" s="1098"/>
      <c r="AC181" s="1098"/>
      <c r="AD181" s="1098"/>
      <c r="AE181" s="1098"/>
      <c r="AF181" s="1098"/>
      <c r="AG181" s="1098"/>
      <c r="AH181" s="1098"/>
      <c r="AI181" s="1098"/>
      <c r="AJ181" s="1098"/>
      <c r="AK181" s="1098"/>
      <c r="AL181" s="1098"/>
      <c r="AM181" s="1098"/>
      <c r="AN181" s="1098"/>
      <c r="AO181" s="1098"/>
      <c r="AP181" s="1098"/>
      <c r="AQ181" s="1098"/>
      <c r="AR181" s="1098"/>
      <c r="AS181" s="1098"/>
      <c r="AT181" s="1098"/>
      <c r="AU181" s="1098"/>
      <c r="AV181" s="1098"/>
      <c r="AW181" s="1098"/>
      <c r="AX181" s="1098"/>
      <c r="AY181" s="1098"/>
    </row>
    <row r="182" spans="1:52" ht="12.75" customHeight="1">
      <c r="A182" s="20"/>
      <c r="B182" s="25" t="s">
        <v>111</v>
      </c>
      <c r="C182" s="21">
        <f>F$182</f>
        <v>360</v>
      </c>
      <c r="D182" s="26">
        <v>0.8</v>
      </c>
      <c r="E182" s="156">
        <f>(H$182*I$182)/100</f>
        <v>35</v>
      </c>
      <c r="F182" s="156">
        <f>G$182/0.11983</f>
        <v>360</v>
      </c>
      <c r="G182" s="90">
        <v>43.138800000000003</v>
      </c>
      <c r="H182" s="1495">
        <v>100</v>
      </c>
      <c r="I182" s="27">
        <f>(L182+M182)/2</f>
        <v>35</v>
      </c>
      <c r="J182" s="20"/>
      <c r="K182" s="199">
        <v>60</v>
      </c>
      <c r="L182" s="199">
        <v>70</v>
      </c>
      <c r="M182" s="20"/>
      <c r="N182" s="1019"/>
      <c r="O182" s="1019"/>
      <c r="P182" s="1019"/>
      <c r="Q182" s="20"/>
      <c r="R182" s="20"/>
      <c r="S182" s="20"/>
      <c r="T182" s="1098"/>
      <c r="U182" s="1098"/>
      <c r="V182" s="1098"/>
      <c r="W182" s="1098"/>
      <c r="X182" s="1098"/>
      <c r="Y182" s="1098"/>
      <c r="Z182" s="1098"/>
      <c r="AA182" s="1098"/>
      <c r="AB182" s="1098"/>
      <c r="AC182" s="1098"/>
      <c r="AD182" s="1098"/>
      <c r="AE182" s="1098"/>
      <c r="AF182" s="1098"/>
      <c r="AG182" s="1098"/>
      <c r="AH182" s="1098"/>
      <c r="AI182" s="1098"/>
      <c r="AJ182" s="1098"/>
      <c r="AK182" s="1098"/>
      <c r="AL182" s="1098"/>
      <c r="AM182" s="1098"/>
      <c r="AN182" s="1098"/>
      <c r="AO182" s="1098"/>
      <c r="AP182" s="1098"/>
      <c r="AQ182" s="1098"/>
      <c r="AR182" s="1098"/>
      <c r="AS182" s="1098"/>
      <c r="AT182" s="1098"/>
      <c r="AU182" s="1098"/>
      <c r="AV182" s="1098"/>
      <c r="AW182" s="1098"/>
      <c r="AX182" s="1098"/>
      <c r="AY182" s="1098"/>
    </row>
    <row r="183" spans="1:52" ht="12.75" customHeight="1">
      <c r="A183" s="20"/>
      <c r="B183" s="25" t="s">
        <v>112</v>
      </c>
      <c r="C183" s="21">
        <f>F$183</f>
        <v>360</v>
      </c>
      <c r="D183" s="26">
        <v>0.8</v>
      </c>
      <c r="E183" s="156">
        <f>(H$183*I$183)/100</f>
        <v>70</v>
      </c>
      <c r="F183" s="156">
        <f>G$182/0.11983</f>
        <v>360</v>
      </c>
      <c r="G183" s="90">
        <v>43.138800000000003</v>
      </c>
      <c r="H183" s="1495">
        <v>100</v>
      </c>
      <c r="I183" s="27">
        <f>(L183+M183)/2</f>
        <v>70</v>
      </c>
      <c r="J183" s="20"/>
      <c r="K183" s="199">
        <v>120</v>
      </c>
      <c r="L183" s="199">
        <v>140</v>
      </c>
      <c r="M183" s="20"/>
      <c r="N183" s="1019"/>
      <c r="O183" s="1019"/>
      <c r="P183" s="1019"/>
      <c r="Q183" s="20"/>
      <c r="R183" s="20"/>
      <c r="S183" s="20"/>
      <c r="T183" s="1098"/>
      <c r="U183" s="1098"/>
      <c r="V183" s="1098"/>
      <c r="W183" s="1098"/>
      <c r="X183" s="1098"/>
      <c r="Y183" s="1098"/>
      <c r="Z183" s="1098"/>
      <c r="AA183" s="1098"/>
      <c r="AB183" s="1098"/>
      <c r="AC183" s="1098"/>
      <c r="AD183" s="1098"/>
      <c r="AE183" s="1098"/>
      <c r="AF183" s="1098"/>
      <c r="AG183" s="1098"/>
      <c r="AH183" s="1098"/>
      <c r="AI183" s="1098"/>
      <c r="AJ183" s="1098"/>
      <c r="AK183" s="1098"/>
      <c r="AL183" s="1098"/>
      <c r="AM183" s="1098"/>
      <c r="AN183" s="1098"/>
      <c r="AO183" s="1098"/>
      <c r="AP183" s="1098"/>
      <c r="AQ183" s="1098"/>
      <c r="AR183" s="1098"/>
      <c r="AS183" s="1098"/>
      <c r="AT183" s="1098"/>
      <c r="AU183" s="1098"/>
      <c r="AV183" s="1098"/>
      <c r="AW183" s="1098"/>
      <c r="AX183" s="1098"/>
      <c r="AY183" s="1098"/>
    </row>
    <row r="184" spans="1:52" ht="12.75" customHeight="1">
      <c r="A184" s="20"/>
      <c r="B184" s="25" t="s">
        <v>115</v>
      </c>
      <c r="C184" s="21">
        <f>F$184</f>
        <v>360</v>
      </c>
      <c r="D184" s="26">
        <v>0.8</v>
      </c>
      <c r="E184" s="156">
        <f>(H$184*I$184)/100</f>
        <v>325</v>
      </c>
      <c r="F184" s="156">
        <f>G$184/0.11983</f>
        <v>360</v>
      </c>
      <c r="G184" s="90">
        <v>43.138800000000003</v>
      </c>
      <c r="H184" s="1495">
        <v>100</v>
      </c>
      <c r="I184" s="27">
        <f>(L184+M184)/2</f>
        <v>325</v>
      </c>
      <c r="J184" s="20"/>
      <c r="K184" s="199">
        <v>550</v>
      </c>
      <c r="L184" s="199">
        <v>650</v>
      </c>
      <c r="M184" s="20"/>
      <c r="N184" s="1019"/>
      <c r="O184" s="1019"/>
      <c r="P184" s="1019"/>
      <c r="Q184" s="20"/>
      <c r="R184" s="20"/>
      <c r="S184" s="20"/>
      <c r="T184" s="1098"/>
      <c r="U184" s="1098"/>
      <c r="V184" s="1098"/>
      <c r="W184" s="1098"/>
      <c r="X184" s="1098"/>
      <c r="Y184" s="1098"/>
      <c r="Z184" s="1098"/>
      <c r="AA184" s="1098"/>
      <c r="AB184" s="1098"/>
      <c r="AC184" s="1098"/>
      <c r="AD184" s="1098"/>
      <c r="AE184" s="1098"/>
      <c r="AF184" s="1098"/>
      <c r="AG184" s="1098"/>
      <c r="AH184" s="1098"/>
      <c r="AI184" s="1098"/>
      <c r="AJ184" s="1098"/>
      <c r="AK184" s="1098"/>
      <c r="AL184" s="1098"/>
      <c r="AM184" s="1098"/>
      <c r="AN184" s="1098"/>
      <c r="AO184" s="1098"/>
      <c r="AP184" s="1098"/>
      <c r="AQ184" s="1098"/>
      <c r="AR184" s="1098"/>
      <c r="AS184" s="1098"/>
      <c r="AT184" s="1098"/>
      <c r="AU184" s="1098"/>
      <c r="AV184" s="1098"/>
      <c r="AW184" s="1098"/>
      <c r="AX184" s="1098"/>
      <c r="AY184" s="1098"/>
    </row>
    <row r="185" spans="1:52" ht="12.75" customHeight="1">
      <c r="A185" s="20"/>
      <c r="B185" s="1100"/>
      <c r="C185" s="1100"/>
      <c r="D185" s="1100"/>
      <c r="E185" s="1100"/>
      <c r="F185" s="1100"/>
      <c r="G185" s="1124"/>
      <c r="H185" s="1505"/>
      <c r="I185" s="573"/>
      <c r="J185" s="20"/>
      <c r="K185" s="1129"/>
      <c r="L185" s="1129"/>
      <c r="M185" s="20"/>
      <c r="N185" s="1019"/>
      <c r="O185" s="1019"/>
      <c r="P185" s="1019"/>
      <c r="Q185" s="20"/>
      <c r="R185" s="20"/>
      <c r="S185" s="20"/>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row>
    <row r="186" spans="1:52" ht="12.75" customHeight="1">
      <c r="A186" s="20"/>
      <c r="B186" s="1100" t="s">
        <v>116</v>
      </c>
      <c r="C186" s="1100"/>
      <c r="D186" s="1100"/>
      <c r="E186" s="1100"/>
      <c r="F186" s="1100"/>
      <c r="G186" s="1124"/>
      <c r="H186" s="1505"/>
      <c r="I186" s="573"/>
      <c r="J186" s="20"/>
      <c r="K186" s="1129" t="s">
        <v>108</v>
      </c>
      <c r="L186" s="1129" t="s">
        <v>109</v>
      </c>
      <c r="M186" s="20"/>
      <c r="N186" s="1019"/>
      <c r="O186" s="1019"/>
      <c r="P186" s="1019"/>
      <c r="Q186" s="1019"/>
      <c r="R186" s="1019"/>
      <c r="S186" s="1019"/>
      <c r="T186" s="1098"/>
      <c r="U186" s="1036"/>
      <c r="V186" s="1036"/>
      <c r="W186" s="1098"/>
      <c r="X186" s="1098"/>
      <c r="Y186" s="1098"/>
      <c r="Z186" s="1098"/>
      <c r="AA186" s="1098"/>
      <c r="AB186" s="1098"/>
      <c r="AC186" s="1098"/>
      <c r="AD186" s="1098"/>
      <c r="AE186" s="1098"/>
      <c r="AF186" s="1098"/>
      <c r="AG186" s="1098"/>
      <c r="AH186" s="1098"/>
      <c r="AI186" s="1098"/>
      <c r="AJ186" s="1098"/>
      <c r="AK186" s="1098"/>
      <c r="AL186" s="1098"/>
      <c r="AM186" s="1098"/>
      <c r="AN186" s="1098"/>
      <c r="AO186" s="1098"/>
      <c r="AP186" s="1098"/>
      <c r="AQ186" s="1098"/>
      <c r="AR186" s="1098"/>
      <c r="AS186" s="1098"/>
      <c r="AT186" s="1098"/>
      <c r="AU186" s="1098"/>
      <c r="AV186" s="1098"/>
      <c r="AW186" s="1098"/>
      <c r="AX186" s="1098"/>
      <c r="AY186" s="1098"/>
    </row>
    <row r="187" spans="1:52" ht="12.75" customHeight="1">
      <c r="A187" s="20"/>
      <c r="B187" s="25" t="s">
        <v>117</v>
      </c>
      <c r="C187" s="21">
        <v>319</v>
      </c>
      <c r="D187" s="25">
        <v>0.64</v>
      </c>
      <c r="E187" s="156">
        <f>(H$187*I$187)/100</f>
        <v>17.5</v>
      </c>
      <c r="F187" s="156">
        <f>G$187/0.11983</f>
        <v>320</v>
      </c>
      <c r="G187" s="90">
        <v>38.345600000000005</v>
      </c>
      <c r="H187" s="1495">
        <v>100</v>
      </c>
      <c r="I187" s="27">
        <f>(L187+M187)/2</f>
        <v>17.5</v>
      </c>
      <c r="J187" s="20"/>
      <c r="K187" s="1130">
        <v>25</v>
      </c>
      <c r="L187" s="1130">
        <v>35</v>
      </c>
      <c r="M187" s="20"/>
      <c r="N187" s="1019"/>
      <c r="O187" s="1019"/>
      <c r="P187" s="1019"/>
      <c r="Q187" s="1019"/>
      <c r="R187" s="1019"/>
      <c r="S187" s="1019"/>
      <c r="T187" s="1098"/>
      <c r="U187" s="1036"/>
      <c r="V187" s="1036"/>
      <c r="W187" s="1098"/>
      <c r="X187" s="1036"/>
      <c r="Y187" s="1036"/>
      <c r="Z187" s="1036"/>
      <c r="AA187" s="1036"/>
      <c r="AB187" s="1036"/>
      <c r="AC187" s="1036"/>
      <c r="AD187" s="1036"/>
      <c r="AE187" s="1036"/>
      <c r="AF187" s="1036"/>
      <c r="AG187" s="1036"/>
      <c r="AH187" s="1036"/>
      <c r="AI187" s="1036"/>
      <c r="AJ187" s="1036"/>
      <c r="AK187" s="1036"/>
      <c r="AL187" s="1036"/>
      <c r="AM187" s="1036"/>
      <c r="AN187" s="1036"/>
      <c r="AO187" s="1036"/>
      <c r="AP187" s="1036"/>
      <c r="AQ187" s="1036"/>
      <c r="AR187" s="1036"/>
      <c r="AS187" s="1036"/>
      <c r="AT187" s="1036"/>
      <c r="AU187" s="1036"/>
      <c r="AV187" s="1036"/>
      <c r="AW187" s="1036"/>
      <c r="AX187" s="1036"/>
      <c r="AY187" s="1098"/>
    </row>
    <row r="188" spans="1:52" ht="12.75" customHeight="1">
      <c r="A188" s="20"/>
      <c r="B188" s="25" t="s">
        <v>118</v>
      </c>
      <c r="C188" s="21">
        <v>319</v>
      </c>
      <c r="D188" s="25">
        <v>0.64</v>
      </c>
      <c r="E188" s="156">
        <f>(H$188*I$188)/100</f>
        <v>35</v>
      </c>
      <c r="F188" s="156">
        <f>G$188/0.11983</f>
        <v>320</v>
      </c>
      <c r="G188" s="90">
        <v>38.345600000000005</v>
      </c>
      <c r="H188" s="1495">
        <v>100</v>
      </c>
      <c r="I188" s="27">
        <f>(L188+M188)/2</f>
        <v>35</v>
      </c>
      <c r="J188" s="20"/>
      <c r="K188" s="199">
        <v>60</v>
      </c>
      <c r="L188" s="199">
        <v>70</v>
      </c>
      <c r="M188" s="20"/>
      <c r="N188" s="1019"/>
      <c r="O188" s="1019"/>
      <c r="P188" s="1019"/>
      <c r="Q188" s="1019"/>
      <c r="R188" s="1019"/>
      <c r="S188" s="1019"/>
      <c r="T188" s="1098"/>
      <c r="U188" s="1036"/>
      <c r="V188" s="1036"/>
      <c r="W188" s="1098"/>
      <c r="X188" s="1036"/>
      <c r="Y188" s="1036"/>
      <c r="Z188" s="1036"/>
      <c r="AA188" s="1036"/>
      <c r="AB188" s="1036"/>
      <c r="AC188" s="1036"/>
      <c r="AD188" s="1036"/>
      <c r="AE188" s="1036"/>
      <c r="AF188" s="1036"/>
      <c r="AG188" s="1036"/>
      <c r="AH188" s="1036"/>
      <c r="AI188" s="1036"/>
      <c r="AJ188" s="1036"/>
      <c r="AK188" s="1036"/>
      <c r="AL188" s="1036"/>
      <c r="AM188" s="1036"/>
      <c r="AN188" s="1036"/>
      <c r="AO188" s="1036"/>
      <c r="AP188" s="1036"/>
      <c r="AQ188" s="1036"/>
      <c r="AR188" s="1036"/>
      <c r="AS188" s="1036"/>
      <c r="AT188" s="1036"/>
      <c r="AU188" s="1036"/>
      <c r="AV188" s="1036"/>
      <c r="AW188" s="1036"/>
      <c r="AX188" s="1036"/>
      <c r="AY188" s="1098"/>
    </row>
    <row r="189" spans="1:52" ht="12.75" customHeight="1">
      <c r="A189" s="20"/>
      <c r="B189" s="25" t="s">
        <v>119</v>
      </c>
      <c r="C189" s="21">
        <v>319</v>
      </c>
      <c r="D189" s="25">
        <v>0.64</v>
      </c>
      <c r="E189" s="156">
        <f>(H$189*I$189)/100</f>
        <v>70</v>
      </c>
      <c r="F189" s="156">
        <f>G$189/0.11983</f>
        <v>320</v>
      </c>
      <c r="G189" s="90">
        <v>38.345600000000005</v>
      </c>
      <c r="H189" s="1495">
        <v>100</v>
      </c>
      <c r="I189" s="27">
        <f>(L189+M189)/2</f>
        <v>70</v>
      </c>
      <c r="J189" s="20"/>
      <c r="K189" s="199">
        <v>120</v>
      </c>
      <c r="L189" s="199">
        <v>140</v>
      </c>
      <c r="M189" s="20"/>
      <c r="N189" s="1019"/>
      <c r="O189" s="1019"/>
      <c r="P189" s="1019"/>
      <c r="Q189" s="20"/>
      <c r="R189" s="20"/>
      <c r="S189" s="20"/>
      <c r="T189" s="1098"/>
      <c r="U189" s="1098"/>
      <c r="V189" s="1098"/>
      <c r="W189" s="1098"/>
      <c r="X189" s="1036"/>
      <c r="Y189" s="1036"/>
      <c r="Z189" s="1036"/>
      <c r="AA189" s="1036"/>
      <c r="AB189" s="1036"/>
      <c r="AC189" s="1036"/>
      <c r="AD189" s="1036"/>
      <c r="AE189" s="1036"/>
      <c r="AF189" s="1036"/>
      <c r="AG189" s="1036"/>
      <c r="AH189" s="1036"/>
      <c r="AI189" s="1036"/>
      <c r="AJ189" s="1036"/>
      <c r="AK189" s="1036"/>
      <c r="AL189" s="1036"/>
      <c r="AM189" s="1036"/>
      <c r="AN189" s="1036"/>
      <c r="AO189" s="1036"/>
      <c r="AP189" s="1036"/>
      <c r="AQ189" s="1036"/>
      <c r="AR189" s="1036"/>
      <c r="AS189" s="1036"/>
      <c r="AT189" s="1036"/>
      <c r="AU189" s="1036"/>
      <c r="AV189" s="1036"/>
      <c r="AW189" s="1036"/>
      <c r="AX189" s="1036"/>
      <c r="AY189" s="1098"/>
    </row>
    <row r="190" spans="1:52" ht="12.75" customHeight="1">
      <c r="A190" s="20"/>
      <c r="B190" s="25" t="s">
        <v>120</v>
      </c>
      <c r="C190" s="21">
        <v>319</v>
      </c>
      <c r="D190" s="25">
        <v>0.64</v>
      </c>
      <c r="E190" s="156">
        <f>(H$190*I$190)/100</f>
        <v>325</v>
      </c>
      <c r="F190" s="156">
        <f>G$190/0.11983</f>
        <v>320</v>
      </c>
      <c r="G190" s="90">
        <v>38.345600000000005</v>
      </c>
      <c r="H190" s="1495">
        <v>100</v>
      </c>
      <c r="I190" s="27">
        <f>(L190+M190)/2</f>
        <v>325</v>
      </c>
      <c r="J190" s="20"/>
      <c r="K190" s="199">
        <v>550</v>
      </c>
      <c r="L190" s="199">
        <v>650</v>
      </c>
      <c r="M190" s="20"/>
      <c r="N190" s="1019"/>
      <c r="O190" s="1019"/>
      <c r="P190" s="1019"/>
      <c r="Q190" s="20"/>
      <c r="R190" s="20"/>
      <c r="S190" s="20"/>
      <c r="T190" s="1098"/>
      <c r="U190" s="1098"/>
      <c r="V190" s="1098"/>
      <c r="W190" s="1098"/>
      <c r="X190" s="1098"/>
      <c r="Y190" s="1098"/>
      <c r="Z190" s="1098"/>
      <c r="AA190" s="1098"/>
      <c r="AB190" s="1098"/>
      <c r="AC190" s="1098"/>
      <c r="AD190" s="1098"/>
      <c r="AE190" s="1098"/>
      <c r="AF190" s="1098"/>
      <c r="AG190" s="1098"/>
      <c r="AH190" s="1098"/>
      <c r="AI190" s="1098"/>
      <c r="AJ190" s="1098"/>
      <c r="AK190" s="1098"/>
      <c r="AL190" s="1098"/>
      <c r="AM190" s="1098"/>
      <c r="AN190" s="1098"/>
      <c r="AO190" s="1098"/>
      <c r="AP190" s="1098"/>
      <c r="AQ190" s="1098"/>
      <c r="AR190" s="1098"/>
      <c r="AS190" s="1098"/>
      <c r="AT190" s="1098"/>
      <c r="AU190" s="1098"/>
      <c r="AV190" s="1098"/>
      <c r="AW190" s="1098"/>
      <c r="AX190" s="1098"/>
      <c r="AY190" s="1098"/>
    </row>
    <row r="191" spans="1:52" ht="12.75" customHeight="1">
      <c r="A191" s="20"/>
      <c r="B191" s="3420" t="s">
        <v>1527</v>
      </c>
      <c r="C191" s="3420"/>
      <c r="D191" s="3420"/>
      <c r="E191" s="3420"/>
      <c r="F191" s="3420"/>
      <c r="G191" s="1319"/>
      <c r="H191" s="1319"/>
      <c r="I191" s="1319"/>
      <c r="J191" s="20"/>
      <c r="K191" s="573"/>
      <c r="L191" s="573"/>
      <c r="M191" s="20"/>
      <c r="N191" s="1019"/>
      <c r="O191" s="1019"/>
      <c r="P191" s="20"/>
      <c r="Q191" s="20"/>
      <c r="R191" s="20"/>
      <c r="S191" s="20"/>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20"/>
    </row>
    <row r="192" spans="1:52" ht="12.75" customHeight="1">
      <c r="A192" s="20"/>
      <c r="B192" s="3421" t="s">
        <v>121</v>
      </c>
      <c r="C192" s="3421"/>
      <c r="D192" s="3421"/>
      <c r="E192" s="3421"/>
      <c r="F192" s="3421"/>
      <c r="G192" s="2210"/>
      <c r="H192" s="2210"/>
      <c r="I192" s="2210"/>
      <c r="J192" s="2210"/>
      <c r="K192" s="1019"/>
      <c r="L192" s="1019"/>
      <c r="M192" s="1019"/>
      <c r="N192" s="1019"/>
      <c r="O192" s="1019"/>
      <c r="P192" s="20"/>
      <c r="Q192" s="20"/>
      <c r="R192" s="20"/>
      <c r="S192" s="20"/>
      <c r="T192" s="1098"/>
      <c r="U192" s="1690" t="s">
        <v>232</v>
      </c>
      <c r="V192" s="1690" t="s">
        <v>232</v>
      </c>
      <c r="W192" s="1690" t="s">
        <v>232</v>
      </c>
      <c r="X192" s="1690" t="s">
        <v>232</v>
      </c>
      <c r="Y192" s="1690" t="s">
        <v>232</v>
      </c>
      <c r="Z192" s="1690" t="s">
        <v>232</v>
      </c>
      <c r="AA192" s="1690" t="s">
        <v>232</v>
      </c>
      <c r="AB192" s="1690" t="s">
        <v>232</v>
      </c>
      <c r="AC192" s="1690" t="s">
        <v>232</v>
      </c>
      <c r="AD192" s="1690" t="s">
        <v>232</v>
      </c>
      <c r="AE192" s="1690" t="s">
        <v>232</v>
      </c>
      <c r="AF192" s="1690" t="s">
        <v>232</v>
      </c>
      <c r="AG192" s="1690" t="s">
        <v>232</v>
      </c>
      <c r="AH192" s="1690" t="s">
        <v>232</v>
      </c>
      <c r="AI192" s="1690" t="s">
        <v>232</v>
      </c>
      <c r="AJ192" s="1690" t="s">
        <v>232</v>
      </c>
      <c r="AK192" s="1690" t="s">
        <v>232</v>
      </c>
      <c r="AL192" s="1690" t="s">
        <v>232</v>
      </c>
      <c r="AM192" s="1690"/>
      <c r="AN192" s="1690"/>
      <c r="AO192" s="1690"/>
      <c r="AP192" s="1690"/>
      <c r="AQ192" s="1690"/>
      <c r="AR192" s="1690"/>
      <c r="AS192" s="1690"/>
      <c r="AT192" s="1690"/>
      <c r="AU192" s="1690"/>
      <c r="AV192" s="1690"/>
      <c r="AW192" s="1690"/>
      <c r="AX192" s="1690"/>
      <c r="AY192" s="1098"/>
      <c r="AZ192" s="20"/>
    </row>
    <row r="193" spans="1:52" ht="12.75" customHeight="1">
      <c r="A193" s="20"/>
      <c r="B193" s="3422" t="s">
        <v>122</v>
      </c>
      <c r="C193" s="3422"/>
      <c r="D193" s="3422"/>
      <c r="E193" s="3422"/>
      <c r="F193" s="3422"/>
      <c r="G193" s="3422"/>
      <c r="H193" s="3422"/>
      <c r="I193" s="2211"/>
      <c r="J193" s="2211"/>
      <c r="K193" s="1019"/>
      <c r="L193" s="1019"/>
      <c r="M193" s="1019"/>
      <c r="N193" s="1019"/>
      <c r="O193" s="1019"/>
      <c r="P193" s="20"/>
      <c r="Q193" s="20"/>
      <c r="R193" s="20"/>
      <c r="S193" s="20"/>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20"/>
    </row>
    <row r="194" spans="1:52" ht="12.75" customHeight="1">
      <c r="A194" s="20"/>
      <c r="B194" s="1100"/>
      <c r="C194" s="1100"/>
      <c r="D194" s="1100"/>
      <c r="E194" s="1100"/>
      <c r="F194" s="1081"/>
      <c r="G194" s="1081"/>
      <c r="H194" s="1081"/>
      <c r="I194" s="1081"/>
      <c r="J194" s="1081"/>
      <c r="K194" s="1081"/>
      <c r="L194" s="1081"/>
      <c r="M194" s="1019"/>
      <c r="N194" s="1019"/>
      <c r="O194" s="1019"/>
      <c r="P194" s="1019"/>
      <c r="Q194" s="1019"/>
      <c r="R194" s="20"/>
      <c r="S194" s="20"/>
      <c r="T194" s="1098"/>
      <c r="U194" s="1098"/>
      <c r="V194" s="1098"/>
      <c r="W194" s="1098"/>
      <c r="X194" s="1098"/>
      <c r="Y194" s="1098"/>
      <c r="Z194" s="1098"/>
      <c r="AA194" s="1098"/>
      <c r="AB194" s="1098"/>
      <c r="AC194" s="1098"/>
      <c r="AD194" s="1098"/>
      <c r="AE194" s="1098"/>
      <c r="AF194" s="1098"/>
      <c r="AG194" s="1098"/>
      <c r="AH194" s="1098"/>
      <c r="AI194" s="1098"/>
      <c r="AJ194" s="1098"/>
      <c r="AK194" s="1098"/>
      <c r="AL194" s="1098"/>
      <c r="AM194" s="1098"/>
      <c r="AN194" s="1098"/>
      <c r="AO194" s="1098"/>
      <c r="AP194" s="1098"/>
      <c r="AQ194" s="1098"/>
      <c r="AR194" s="1098"/>
      <c r="AS194" s="1098"/>
      <c r="AT194" s="1098"/>
      <c r="AU194" s="1098"/>
      <c r="AV194" s="1098"/>
      <c r="AW194" s="1098"/>
      <c r="AX194" s="1098"/>
      <c r="AY194" s="1098"/>
      <c r="AZ194" s="20"/>
    </row>
    <row r="195" spans="1:52" ht="12.75" customHeight="1">
      <c r="A195" s="20"/>
      <c r="B195" s="3423" t="s">
        <v>371</v>
      </c>
      <c r="C195" s="3423"/>
      <c r="D195" s="3423"/>
      <c r="E195" s="3423"/>
      <c r="F195" s="3423"/>
      <c r="G195" s="3423"/>
      <c r="H195" s="3423"/>
      <c r="I195" s="3423"/>
      <c r="J195" s="3423"/>
      <c r="K195" s="3423"/>
      <c r="L195" s="3423"/>
      <c r="M195" s="3423"/>
      <c r="N195" s="3423"/>
      <c r="O195" s="3423"/>
      <c r="P195" s="3423"/>
      <c r="Q195" s="3423"/>
      <c r="R195" s="3423"/>
      <c r="S195" s="3423"/>
      <c r="T195" s="3423"/>
      <c r="U195" s="1691"/>
      <c r="V195" s="1691"/>
      <c r="W195" s="1098"/>
      <c r="X195" s="1098"/>
      <c r="Y195" s="1098"/>
      <c r="Z195" s="1098"/>
      <c r="AA195" s="1098"/>
      <c r="AB195" s="1098"/>
      <c r="AC195" s="1098"/>
      <c r="AD195" s="1098"/>
      <c r="AE195" s="1098"/>
      <c r="AF195" s="1098"/>
      <c r="AG195" s="1098"/>
      <c r="AH195" s="1098"/>
      <c r="AI195" s="1098"/>
      <c r="AJ195" s="1098"/>
      <c r="AK195" s="1098"/>
      <c r="AL195" s="1098"/>
      <c r="AM195" s="1098"/>
      <c r="AN195" s="1098"/>
      <c r="AO195" s="1098"/>
      <c r="AP195" s="1098"/>
      <c r="AQ195" s="1098"/>
      <c r="AR195" s="1098"/>
      <c r="AS195" s="1098"/>
      <c r="AT195" s="1098"/>
      <c r="AU195" s="1098"/>
      <c r="AV195" s="1098"/>
      <c r="AW195" s="1098"/>
      <c r="AX195" s="1098"/>
      <c r="AY195" s="1098"/>
      <c r="AZ195" s="20"/>
    </row>
    <row r="196" spans="1:52" ht="12.75" customHeight="1">
      <c r="A196" s="20"/>
      <c r="B196" s="3423"/>
      <c r="C196" s="3423"/>
      <c r="D196" s="3423"/>
      <c r="E196" s="3423"/>
      <c r="F196" s="3423"/>
      <c r="G196" s="3423"/>
      <c r="H196" s="3423"/>
      <c r="I196" s="3423"/>
      <c r="J196" s="3423"/>
      <c r="K196" s="3423"/>
      <c r="L196" s="3423"/>
      <c r="M196" s="3423"/>
      <c r="N196" s="3423"/>
      <c r="O196" s="3423"/>
      <c r="P196" s="3423"/>
      <c r="Q196" s="3423"/>
      <c r="R196" s="3423"/>
      <c r="S196" s="3423"/>
      <c r="T196" s="3423"/>
      <c r="U196" s="1691"/>
      <c r="V196" s="1691"/>
      <c r="W196" s="1098"/>
      <c r="X196" s="1098"/>
      <c r="Y196" s="1098"/>
      <c r="Z196" s="1098"/>
      <c r="AA196" s="1098"/>
      <c r="AB196" s="1098"/>
      <c r="AC196" s="1098"/>
      <c r="AD196" s="1098"/>
      <c r="AE196" s="1098"/>
      <c r="AF196" s="1098"/>
      <c r="AG196" s="1098"/>
      <c r="AH196" s="1098"/>
      <c r="AI196" s="1098"/>
      <c r="AJ196" s="1098"/>
      <c r="AK196" s="1098"/>
      <c r="AL196" s="1098"/>
      <c r="AM196" s="1098"/>
      <c r="AN196" s="1098"/>
      <c r="AO196" s="1098"/>
      <c r="AP196" s="1098"/>
      <c r="AQ196" s="1098"/>
      <c r="AR196" s="1098"/>
      <c r="AS196" s="1098"/>
      <c r="AT196" s="1098"/>
      <c r="AU196" s="1098"/>
      <c r="AV196" s="1098"/>
      <c r="AW196" s="1098"/>
      <c r="AX196" s="1098"/>
      <c r="AY196" s="1098"/>
      <c r="AZ196" s="20"/>
    </row>
    <row r="197" spans="1:52" ht="12.75" customHeight="1">
      <c r="A197" s="20"/>
      <c r="B197" s="3423"/>
      <c r="C197" s="3423"/>
      <c r="D197" s="3423"/>
      <c r="E197" s="3423"/>
      <c r="F197" s="3423"/>
      <c r="G197" s="3423"/>
      <c r="H197" s="3423"/>
      <c r="I197" s="3423"/>
      <c r="J197" s="3423"/>
      <c r="K197" s="3423"/>
      <c r="L197" s="3423"/>
      <c r="M197" s="3423"/>
      <c r="N197" s="3423"/>
      <c r="O197" s="3423"/>
      <c r="P197" s="3423"/>
      <c r="Q197" s="3423"/>
      <c r="R197" s="3423"/>
      <c r="S197" s="3423"/>
      <c r="T197" s="3423"/>
      <c r="U197" s="1691"/>
      <c r="V197" s="1691"/>
      <c r="W197" s="1098"/>
      <c r="X197" s="1098"/>
      <c r="Y197" s="1098"/>
      <c r="Z197" s="1098"/>
      <c r="AA197" s="1098"/>
      <c r="AB197" s="1098"/>
      <c r="AC197" s="1098"/>
      <c r="AD197" s="1098"/>
      <c r="AE197" s="1098"/>
      <c r="AF197" s="1098"/>
      <c r="AG197" s="1098"/>
      <c r="AH197" s="1098"/>
      <c r="AI197" s="1098"/>
      <c r="AJ197" s="1098"/>
      <c r="AK197" s="1098"/>
      <c r="AL197" s="1098"/>
      <c r="AM197" s="1098"/>
      <c r="AN197" s="1098"/>
      <c r="AO197" s="1098"/>
      <c r="AP197" s="1098"/>
      <c r="AQ197" s="1098"/>
      <c r="AR197" s="1098"/>
      <c r="AS197" s="1098"/>
      <c r="AT197" s="1098"/>
      <c r="AU197" s="1098"/>
      <c r="AV197" s="1098"/>
      <c r="AW197" s="1098"/>
      <c r="AX197" s="1098"/>
      <c r="AY197" s="1098"/>
      <c r="AZ197" s="20"/>
    </row>
    <row r="198" spans="1:52" ht="12.75" customHeight="1">
      <c r="A198" s="20"/>
      <c r="B198" s="3423"/>
      <c r="C198" s="3423"/>
      <c r="D198" s="3423"/>
      <c r="E198" s="3423"/>
      <c r="F198" s="3423"/>
      <c r="G198" s="3423"/>
      <c r="H198" s="3423"/>
      <c r="I198" s="3423"/>
      <c r="J198" s="3423"/>
      <c r="K198" s="3423"/>
      <c r="L198" s="3423"/>
      <c r="M198" s="3423"/>
      <c r="N198" s="3423"/>
      <c r="O198" s="3423"/>
      <c r="P198" s="3423"/>
      <c r="Q198" s="3423"/>
      <c r="R198" s="3423"/>
      <c r="S198" s="3423"/>
      <c r="T198" s="3423"/>
      <c r="U198" s="1691"/>
      <c r="V198" s="1691"/>
      <c r="W198" s="1098"/>
      <c r="X198" s="1098"/>
      <c r="Y198" s="1098"/>
      <c r="Z198" s="1098"/>
      <c r="AA198" s="1098"/>
      <c r="AB198" s="1098"/>
      <c r="AC198" s="1098"/>
      <c r="AD198" s="1098"/>
      <c r="AE198" s="1098"/>
      <c r="AF198" s="1098"/>
      <c r="AG198" s="1098"/>
      <c r="AH198" s="1098"/>
      <c r="AI198" s="1098"/>
      <c r="AJ198" s="1098"/>
      <c r="AK198" s="1098"/>
      <c r="AL198" s="1098"/>
      <c r="AM198" s="1098"/>
      <c r="AN198" s="1098"/>
      <c r="AO198" s="1098"/>
      <c r="AP198" s="1098"/>
      <c r="AQ198" s="1098"/>
      <c r="AR198" s="1098"/>
      <c r="AS198" s="1098"/>
      <c r="AT198" s="1098"/>
      <c r="AU198" s="1098"/>
      <c r="AV198" s="1098"/>
      <c r="AW198" s="1098"/>
      <c r="AX198" s="1098"/>
      <c r="AY198" s="1098"/>
      <c r="AZ198" s="20"/>
    </row>
    <row r="199" spans="1:52" ht="12.75" customHeight="1">
      <c r="A199" s="20"/>
      <c r="B199" s="3423"/>
      <c r="C199" s="3423"/>
      <c r="D199" s="3423"/>
      <c r="E199" s="3423"/>
      <c r="F199" s="3423"/>
      <c r="G199" s="3423"/>
      <c r="H199" s="3423"/>
      <c r="I199" s="3423"/>
      <c r="J199" s="3423"/>
      <c r="K199" s="3423"/>
      <c r="L199" s="3423"/>
      <c r="M199" s="3423"/>
      <c r="N199" s="3423"/>
      <c r="O199" s="3423"/>
      <c r="P199" s="3423"/>
      <c r="Q199" s="3423"/>
      <c r="R199" s="3423"/>
      <c r="S199" s="3423"/>
      <c r="T199" s="3423"/>
      <c r="U199" s="1691"/>
      <c r="V199" s="1691"/>
      <c r="W199" s="1098"/>
      <c r="X199" s="1098"/>
      <c r="Y199" s="1098"/>
      <c r="Z199" s="1098"/>
      <c r="AA199" s="1098"/>
      <c r="AB199" s="1098"/>
      <c r="AC199" s="1098"/>
      <c r="AD199" s="1098"/>
      <c r="AE199" s="1098"/>
      <c r="AF199" s="1098"/>
      <c r="AG199" s="1098"/>
      <c r="AH199" s="1098"/>
      <c r="AI199" s="1098"/>
      <c r="AJ199" s="1098"/>
      <c r="AK199" s="1098"/>
      <c r="AL199" s="1098"/>
      <c r="AM199" s="1098"/>
      <c r="AN199" s="1098"/>
      <c r="AO199" s="1098"/>
      <c r="AP199" s="1098"/>
      <c r="AQ199" s="1098"/>
      <c r="AR199" s="1098"/>
      <c r="AS199" s="1098"/>
      <c r="AT199" s="1098"/>
      <c r="AU199" s="1098"/>
      <c r="AV199" s="1098"/>
      <c r="AW199" s="1098"/>
      <c r="AX199" s="1098"/>
      <c r="AY199" s="1098"/>
      <c r="AZ199" s="20"/>
    </row>
    <row r="200" spans="1:52" ht="12.75" customHeight="1">
      <c r="A200" s="20"/>
      <c r="B200" s="3423"/>
      <c r="C200" s="3423"/>
      <c r="D200" s="3423"/>
      <c r="E200" s="3423"/>
      <c r="F200" s="3423"/>
      <c r="G200" s="3423"/>
      <c r="H200" s="3423"/>
      <c r="I200" s="3423"/>
      <c r="J200" s="3423"/>
      <c r="K200" s="3423"/>
      <c r="L200" s="3423"/>
      <c r="M200" s="3423"/>
      <c r="N200" s="3423"/>
      <c r="O200" s="3423"/>
      <c r="P200" s="3423"/>
      <c r="Q200" s="3423"/>
      <c r="R200" s="3423"/>
      <c r="S200" s="3423"/>
      <c r="T200" s="3423"/>
      <c r="U200" s="1691"/>
      <c r="V200" s="1691"/>
      <c r="W200" s="1098"/>
      <c r="X200" s="1098"/>
      <c r="Y200" s="1098"/>
      <c r="Z200" s="1098"/>
      <c r="AA200" s="1098"/>
      <c r="AB200" s="1098"/>
      <c r="AC200" s="1098"/>
      <c r="AD200" s="1098"/>
      <c r="AE200" s="1098"/>
      <c r="AF200" s="1098"/>
      <c r="AG200" s="1098"/>
      <c r="AH200" s="1098"/>
      <c r="AI200" s="1098"/>
      <c r="AJ200" s="1098"/>
      <c r="AK200" s="1098"/>
      <c r="AL200" s="1098"/>
      <c r="AM200" s="1098"/>
      <c r="AN200" s="1098"/>
      <c r="AO200" s="1098"/>
      <c r="AP200" s="1098"/>
      <c r="AQ200" s="1098"/>
      <c r="AR200" s="1098"/>
      <c r="AS200" s="1098"/>
      <c r="AT200" s="1098"/>
      <c r="AU200" s="1098"/>
      <c r="AV200" s="1098"/>
      <c r="AW200" s="1098"/>
      <c r="AX200" s="1098"/>
      <c r="AY200" s="1098"/>
      <c r="AZ200" s="20"/>
    </row>
    <row r="201" spans="1:52" ht="12.75" customHeight="1">
      <c r="A201" s="20"/>
      <c r="B201" s="3423"/>
      <c r="C201" s="3423"/>
      <c r="D201" s="3423"/>
      <c r="E201" s="3423"/>
      <c r="F201" s="3423"/>
      <c r="G201" s="3423"/>
      <c r="H201" s="3423"/>
      <c r="I201" s="3423"/>
      <c r="J201" s="3423"/>
      <c r="K201" s="3423"/>
      <c r="L201" s="3423"/>
      <c r="M201" s="3423"/>
      <c r="N201" s="3423"/>
      <c r="O201" s="3423"/>
      <c r="P201" s="3423"/>
      <c r="Q201" s="3423"/>
      <c r="R201" s="3423"/>
      <c r="S201" s="3423"/>
      <c r="T201" s="3423"/>
      <c r="U201" s="1691"/>
      <c r="V201" s="1691"/>
      <c r="W201" s="1098"/>
      <c r="X201" s="1098"/>
      <c r="Y201" s="1098"/>
      <c r="Z201" s="1098"/>
      <c r="AA201" s="1098"/>
      <c r="AB201" s="1098"/>
      <c r="AC201" s="1098"/>
      <c r="AD201" s="1098"/>
      <c r="AE201" s="1098"/>
      <c r="AF201" s="1098"/>
      <c r="AG201" s="1098"/>
      <c r="AH201" s="1098"/>
      <c r="AI201" s="1098"/>
      <c r="AJ201" s="1098"/>
      <c r="AK201" s="1098"/>
      <c r="AL201" s="1098"/>
      <c r="AM201" s="1098"/>
      <c r="AN201" s="1098"/>
      <c r="AO201" s="1098"/>
      <c r="AP201" s="1098"/>
      <c r="AQ201" s="1098"/>
      <c r="AR201" s="1098"/>
      <c r="AS201" s="1098"/>
      <c r="AT201" s="1098"/>
      <c r="AU201" s="1098"/>
      <c r="AV201" s="1098"/>
      <c r="AW201" s="1098"/>
      <c r="AX201" s="1098"/>
      <c r="AY201" s="1098"/>
      <c r="AZ201" s="20"/>
    </row>
    <row r="202" spans="1:52" ht="12.75" customHeight="1">
      <c r="A202" s="20"/>
      <c r="B202" s="3423"/>
      <c r="C202" s="3423"/>
      <c r="D202" s="3423"/>
      <c r="E202" s="3423"/>
      <c r="F202" s="3423"/>
      <c r="G202" s="3423"/>
      <c r="H202" s="3423"/>
      <c r="I202" s="3423"/>
      <c r="J202" s="3423"/>
      <c r="K202" s="3423"/>
      <c r="L202" s="3423"/>
      <c r="M202" s="3423"/>
      <c r="N202" s="3423"/>
      <c r="O202" s="3423"/>
      <c r="P202" s="3423"/>
      <c r="Q202" s="3423"/>
      <c r="R202" s="3423"/>
      <c r="S202" s="3423"/>
      <c r="T202" s="3423"/>
      <c r="U202" s="1691"/>
      <c r="V202" s="1691"/>
      <c r="W202" s="1098"/>
      <c r="X202" s="1098"/>
      <c r="Y202" s="1098"/>
      <c r="Z202" s="1098"/>
      <c r="AA202" s="1098"/>
      <c r="AB202" s="1098"/>
      <c r="AC202" s="1098"/>
      <c r="AD202" s="1098"/>
      <c r="AE202" s="1098"/>
      <c r="AF202" s="1098"/>
      <c r="AG202" s="1098"/>
      <c r="AH202" s="1098"/>
      <c r="AI202" s="1098"/>
      <c r="AJ202" s="1098"/>
      <c r="AK202" s="1098"/>
      <c r="AL202" s="1098"/>
      <c r="AM202" s="1098"/>
      <c r="AN202" s="1098"/>
      <c r="AO202" s="1098"/>
      <c r="AP202" s="1098"/>
      <c r="AQ202" s="1098"/>
      <c r="AR202" s="1098"/>
      <c r="AS202" s="1098"/>
      <c r="AT202" s="1098"/>
      <c r="AU202" s="1098"/>
      <c r="AV202" s="1098"/>
      <c r="AW202" s="1098"/>
      <c r="AX202" s="1098"/>
      <c r="AY202" s="1098"/>
      <c r="AZ202" s="20"/>
    </row>
    <row r="203" spans="1:52" ht="12.75" customHeight="1">
      <c r="A203" s="20"/>
      <c r="B203" s="3423"/>
      <c r="C203" s="3423"/>
      <c r="D203" s="3423"/>
      <c r="E203" s="3423"/>
      <c r="F203" s="3423"/>
      <c r="G203" s="3423"/>
      <c r="H203" s="3423"/>
      <c r="I203" s="3423"/>
      <c r="J203" s="3423"/>
      <c r="K203" s="3423"/>
      <c r="L203" s="3423"/>
      <c r="M203" s="3423"/>
      <c r="N203" s="3423"/>
      <c r="O203" s="3423"/>
      <c r="P203" s="3423"/>
      <c r="Q203" s="3423"/>
      <c r="R203" s="3423"/>
      <c r="S203" s="3423"/>
      <c r="T203" s="3423"/>
      <c r="U203" s="1691"/>
      <c r="V203" s="1691"/>
      <c r="W203" s="1098"/>
      <c r="X203" s="1098"/>
      <c r="Y203" s="1098"/>
      <c r="Z203" s="1098"/>
      <c r="AA203" s="1098"/>
      <c r="AB203" s="1098"/>
      <c r="AC203" s="1098"/>
      <c r="AD203" s="1098"/>
      <c r="AE203" s="1098"/>
      <c r="AF203" s="1098"/>
      <c r="AG203" s="1098"/>
      <c r="AH203" s="1098"/>
      <c r="AI203" s="1098"/>
      <c r="AJ203" s="1098"/>
      <c r="AK203" s="1098"/>
      <c r="AL203" s="1098"/>
      <c r="AM203" s="1098"/>
      <c r="AN203" s="1098"/>
      <c r="AO203" s="1098"/>
      <c r="AP203" s="1098"/>
      <c r="AQ203" s="1098"/>
      <c r="AR203" s="1098"/>
      <c r="AS203" s="1098"/>
      <c r="AT203" s="1098"/>
      <c r="AU203" s="1098"/>
      <c r="AV203" s="1098"/>
      <c r="AW203" s="1098"/>
      <c r="AX203" s="1098"/>
      <c r="AY203" s="1098"/>
      <c r="AZ203" s="20"/>
    </row>
    <row r="204" spans="1:52" ht="12.75" customHeight="1">
      <c r="A204" s="20"/>
      <c r="B204" s="3423"/>
      <c r="C204" s="3423"/>
      <c r="D204" s="3423"/>
      <c r="E204" s="3423"/>
      <c r="F204" s="3423"/>
      <c r="G204" s="3423"/>
      <c r="H204" s="3423"/>
      <c r="I204" s="3423"/>
      <c r="J204" s="3423"/>
      <c r="K204" s="3423"/>
      <c r="L204" s="3423"/>
      <c r="M204" s="3423"/>
      <c r="N204" s="3423"/>
      <c r="O204" s="3423"/>
      <c r="P204" s="3423"/>
      <c r="Q204" s="3423"/>
      <c r="R204" s="3423"/>
      <c r="S204" s="3423"/>
      <c r="T204" s="3423"/>
      <c r="U204" s="1691"/>
      <c r="V204" s="1691"/>
      <c r="W204" s="1098"/>
      <c r="X204" s="1098"/>
      <c r="Y204" s="1098"/>
      <c r="Z204" s="1098"/>
      <c r="AA204" s="1098"/>
      <c r="AB204" s="1098"/>
      <c r="AC204" s="1098"/>
      <c r="AD204" s="1098"/>
      <c r="AE204" s="1098"/>
      <c r="AF204" s="1098"/>
      <c r="AG204" s="1098"/>
      <c r="AH204" s="1098"/>
      <c r="AI204" s="1098"/>
      <c r="AJ204" s="1098"/>
      <c r="AK204" s="1098"/>
      <c r="AL204" s="1098"/>
      <c r="AM204" s="1098"/>
      <c r="AN204" s="1098"/>
      <c r="AO204" s="1098"/>
      <c r="AP204" s="1098"/>
      <c r="AQ204" s="1098"/>
      <c r="AR204" s="1098"/>
      <c r="AS204" s="1098"/>
      <c r="AT204" s="1098"/>
      <c r="AU204" s="1098"/>
      <c r="AV204" s="1098"/>
      <c r="AW204" s="1098"/>
      <c r="AX204" s="1098"/>
      <c r="AY204" s="1098"/>
      <c r="AZ204" s="20"/>
    </row>
    <row r="205" spans="1:52" ht="12.75" customHeight="1">
      <c r="A205" s="20"/>
      <c r="B205" s="3423"/>
      <c r="C205" s="3423"/>
      <c r="D205" s="3423"/>
      <c r="E205" s="3423"/>
      <c r="F205" s="3423"/>
      <c r="G205" s="3423"/>
      <c r="H205" s="3423"/>
      <c r="I205" s="3423"/>
      <c r="J205" s="3423"/>
      <c r="K205" s="3423"/>
      <c r="L205" s="3423"/>
      <c r="M205" s="3423"/>
      <c r="N205" s="3423"/>
      <c r="O205" s="3423"/>
      <c r="P205" s="3423"/>
      <c r="Q205" s="3423"/>
      <c r="R205" s="3423"/>
      <c r="S205" s="3423"/>
      <c r="T205" s="3423"/>
      <c r="U205" s="1691"/>
      <c r="V205" s="1691"/>
      <c r="W205" s="1098"/>
      <c r="X205" s="1098"/>
      <c r="Y205" s="1098"/>
      <c r="Z205" s="1098"/>
      <c r="AA205" s="1098"/>
      <c r="AB205" s="1098"/>
      <c r="AC205" s="1098"/>
      <c r="AD205" s="1098"/>
      <c r="AE205" s="1098"/>
      <c r="AF205" s="1098"/>
      <c r="AG205" s="1098"/>
      <c r="AH205" s="1098"/>
      <c r="AI205" s="1098"/>
      <c r="AJ205" s="1098"/>
      <c r="AK205" s="1098"/>
      <c r="AL205" s="1098"/>
      <c r="AM205" s="1098"/>
      <c r="AN205" s="1098"/>
      <c r="AO205" s="1098"/>
      <c r="AP205" s="1098"/>
      <c r="AQ205" s="1098"/>
      <c r="AR205" s="1098"/>
      <c r="AS205" s="1098"/>
      <c r="AT205" s="1098"/>
      <c r="AU205" s="1098"/>
      <c r="AV205" s="1098"/>
      <c r="AW205" s="1098"/>
      <c r="AX205" s="1098"/>
      <c r="AY205" s="1098"/>
      <c r="AZ205" s="20"/>
    </row>
    <row r="206" spans="1:52" ht="12.75" customHeight="1">
      <c r="A206" s="20"/>
      <c r="B206" s="3423"/>
      <c r="C206" s="3423"/>
      <c r="D206" s="3423"/>
      <c r="E206" s="3423"/>
      <c r="F206" s="3423"/>
      <c r="G206" s="3423"/>
      <c r="H206" s="3423"/>
      <c r="I206" s="3423"/>
      <c r="J206" s="3423"/>
      <c r="K206" s="3423"/>
      <c r="L206" s="3423"/>
      <c r="M206" s="3423"/>
      <c r="N206" s="3423"/>
      <c r="O206" s="3423"/>
      <c r="P206" s="3423"/>
      <c r="Q206" s="3423"/>
      <c r="R206" s="3423"/>
      <c r="S206" s="3423"/>
      <c r="T206" s="3423"/>
      <c r="U206" s="1691"/>
      <c r="V206" s="1691"/>
      <c r="W206" s="1098"/>
      <c r="X206" s="1098"/>
      <c r="Y206" s="1098"/>
      <c r="Z206" s="1098"/>
      <c r="AA206" s="1098"/>
      <c r="AB206" s="1098"/>
      <c r="AC206" s="1098"/>
      <c r="AD206" s="1098"/>
      <c r="AE206" s="1098"/>
      <c r="AF206" s="1098"/>
      <c r="AG206" s="1098"/>
      <c r="AH206" s="1098"/>
      <c r="AI206" s="1098"/>
      <c r="AJ206" s="1098"/>
      <c r="AK206" s="1098"/>
      <c r="AL206" s="1098"/>
      <c r="AM206" s="1098"/>
      <c r="AN206" s="1098"/>
      <c r="AO206" s="1098"/>
      <c r="AP206" s="1098"/>
      <c r="AQ206" s="1098"/>
      <c r="AR206" s="1098"/>
      <c r="AS206" s="1098"/>
      <c r="AT206" s="1098"/>
      <c r="AU206" s="1098"/>
      <c r="AV206" s="1098"/>
      <c r="AW206" s="1098"/>
      <c r="AX206" s="1098"/>
      <c r="AY206" s="1098"/>
      <c r="AZ206" s="20"/>
    </row>
    <row r="207" spans="1:52" ht="12.75" customHeight="1">
      <c r="A207" s="20"/>
      <c r="B207" s="3423"/>
      <c r="C207" s="3423"/>
      <c r="D207" s="3423"/>
      <c r="E207" s="3423"/>
      <c r="F207" s="3423"/>
      <c r="G207" s="3423"/>
      <c r="H207" s="3423"/>
      <c r="I207" s="3423"/>
      <c r="J207" s="3423"/>
      <c r="K207" s="3423"/>
      <c r="L207" s="3423"/>
      <c r="M207" s="3423"/>
      <c r="N207" s="3423"/>
      <c r="O207" s="3423"/>
      <c r="P207" s="3423"/>
      <c r="Q207" s="3423"/>
      <c r="R207" s="3423"/>
      <c r="S207" s="3423"/>
      <c r="T207" s="3423"/>
      <c r="U207" s="1691"/>
      <c r="V207" s="1691"/>
      <c r="W207" s="1098"/>
      <c r="X207" s="1098"/>
      <c r="Y207" s="1098"/>
      <c r="Z207" s="1098"/>
      <c r="AA207" s="1098"/>
      <c r="AB207" s="1098"/>
      <c r="AC207" s="1098"/>
      <c r="AD207" s="1098"/>
      <c r="AE207" s="1098"/>
      <c r="AF207" s="1098"/>
      <c r="AG207" s="1098"/>
      <c r="AH207" s="1098"/>
      <c r="AI207" s="1098"/>
      <c r="AJ207" s="1098"/>
      <c r="AK207" s="1098"/>
      <c r="AL207" s="1098"/>
      <c r="AM207" s="1098"/>
      <c r="AN207" s="1098"/>
      <c r="AO207" s="1098"/>
      <c r="AP207" s="1098"/>
      <c r="AQ207" s="1098"/>
      <c r="AR207" s="1098"/>
      <c r="AS207" s="1098"/>
      <c r="AT207" s="1098"/>
      <c r="AU207" s="1098"/>
      <c r="AV207" s="1098"/>
      <c r="AW207" s="1098"/>
      <c r="AX207" s="1098"/>
      <c r="AY207" s="1098"/>
      <c r="AZ207" s="20"/>
    </row>
    <row r="208" spans="1:52" ht="12.75" customHeight="1">
      <c r="A208" s="20"/>
      <c r="B208" s="3423"/>
      <c r="C208" s="3423"/>
      <c r="D208" s="3423"/>
      <c r="E208" s="3423"/>
      <c r="F208" s="3423"/>
      <c r="G208" s="3423"/>
      <c r="H208" s="3423"/>
      <c r="I208" s="3423"/>
      <c r="J208" s="3423"/>
      <c r="K208" s="3423"/>
      <c r="L208" s="3423"/>
      <c r="M208" s="3423"/>
      <c r="N208" s="3423"/>
      <c r="O208" s="3423"/>
      <c r="P208" s="3423"/>
      <c r="Q208" s="3423"/>
      <c r="R208" s="3423"/>
      <c r="S208" s="3423"/>
      <c r="T208" s="3423"/>
      <c r="U208" s="1691"/>
      <c r="V208" s="1691"/>
      <c r="W208" s="1098"/>
      <c r="X208" s="1098"/>
      <c r="Y208" s="1098"/>
      <c r="Z208" s="1098"/>
      <c r="AA208" s="1098"/>
      <c r="AB208" s="1098"/>
      <c r="AC208" s="1098"/>
      <c r="AD208" s="1098"/>
      <c r="AE208" s="1098"/>
      <c r="AF208" s="1098"/>
      <c r="AG208" s="1098"/>
      <c r="AH208" s="1098"/>
      <c r="AI208" s="1098"/>
      <c r="AJ208" s="1098"/>
      <c r="AK208" s="1098"/>
      <c r="AL208" s="1098"/>
      <c r="AM208" s="1098"/>
      <c r="AN208" s="1098"/>
      <c r="AO208" s="1098"/>
      <c r="AP208" s="1098"/>
      <c r="AQ208" s="1098"/>
      <c r="AR208" s="1098"/>
      <c r="AS208" s="1098"/>
      <c r="AT208" s="1098"/>
      <c r="AU208" s="1098"/>
      <c r="AV208" s="1098"/>
      <c r="AW208" s="1098"/>
      <c r="AX208" s="1098"/>
      <c r="AY208" s="1098"/>
      <c r="AZ208" s="20"/>
    </row>
    <row r="209" spans="1:52" ht="12.75" customHeight="1">
      <c r="A209" s="20"/>
      <c r="B209" s="3423"/>
      <c r="C209" s="3423"/>
      <c r="D209" s="3423"/>
      <c r="E209" s="3423"/>
      <c r="F209" s="3423"/>
      <c r="G209" s="3423"/>
      <c r="H209" s="3423"/>
      <c r="I209" s="3423"/>
      <c r="J209" s="3423"/>
      <c r="K209" s="3423"/>
      <c r="L209" s="3423"/>
      <c r="M209" s="3423"/>
      <c r="N209" s="3423"/>
      <c r="O209" s="3423"/>
      <c r="P209" s="3423"/>
      <c r="Q209" s="3423"/>
      <c r="R209" s="3423"/>
      <c r="S209" s="3423"/>
      <c r="T209" s="3423"/>
      <c r="U209" s="1979"/>
      <c r="V209" s="1979"/>
      <c r="W209" s="1098"/>
      <c r="X209" s="1098"/>
      <c r="Y209" s="1098"/>
      <c r="Z209" s="1098"/>
      <c r="AA209" s="1098"/>
      <c r="AB209" s="1098"/>
      <c r="AC209" s="1098"/>
      <c r="AD209" s="1098"/>
      <c r="AE209" s="1098"/>
      <c r="AF209" s="1098"/>
      <c r="AG209" s="1098"/>
      <c r="AH209" s="1098"/>
      <c r="AI209" s="1098"/>
      <c r="AJ209" s="1098"/>
      <c r="AK209" s="1098"/>
      <c r="AL209" s="1098"/>
      <c r="AM209" s="1098"/>
      <c r="AN209" s="1098"/>
      <c r="AO209" s="1098"/>
      <c r="AP209" s="1098"/>
      <c r="AQ209" s="1098"/>
      <c r="AR209" s="1098"/>
      <c r="AS209" s="1098"/>
      <c r="AT209" s="1098"/>
      <c r="AU209" s="1098"/>
      <c r="AV209" s="1098"/>
      <c r="AW209" s="1098"/>
      <c r="AX209" s="1098"/>
      <c r="AY209" s="1098"/>
      <c r="AZ209" s="20"/>
    </row>
    <row r="210" spans="1:52" ht="12.75" customHeight="1">
      <c r="A210" s="20"/>
      <c r="B210" s="3423"/>
      <c r="C210" s="3423"/>
      <c r="D210" s="3423"/>
      <c r="E210" s="3423"/>
      <c r="F210" s="3423"/>
      <c r="G210" s="3423"/>
      <c r="H210" s="3423"/>
      <c r="I210" s="3423"/>
      <c r="J210" s="3423"/>
      <c r="K210" s="3423"/>
      <c r="L210" s="3423"/>
      <c r="M210" s="3423"/>
      <c r="N210" s="3423"/>
      <c r="O210" s="3423"/>
      <c r="P210" s="3423"/>
      <c r="Q210" s="3423"/>
      <c r="R210" s="3423"/>
      <c r="S210" s="3423"/>
      <c r="T210" s="3423"/>
      <c r="U210" s="1979"/>
      <c r="V210" s="1979"/>
      <c r="W210" s="1098"/>
      <c r="X210" s="1098"/>
      <c r="Y210" s="1098"/>
      <c r="Z210" s="1098"/>
      <c r="AA210" s="1098"/>
      <c r="AB210" s="1098"/>
      <c r="AC210" s="1098"/>
      <c r="AD210" s="1098"/>
      <c r="AE210" s="1098"/>
      <c r="AF210" s="1098"/>
      <c r="AG210" s="1098"/>
      <c r="AH210" s="1098"/>
      <c r="AI210" s="1098"/>
      <c r="AJ210" s="1098"/>
      <c r="AK210" s="1098"/>
      <c r="AL210" s="1098"/>
      <c r="AM210" s="1098"/>
      <c r="AN210" s="1098"/>
      <c r="AO210" s="1098"/>
      <c r="AP210" s="1098"/>
      <c r="AQ210" s="1098"/>
      <c r="AR210" s="1098"/>
      <c r="AS210" s="1098"/>
      <c r="AT210" s="1098"/>
      <c r="AU210" s="1098"/>
      <c r="AV210" s="1098"/>
      <c r="AW210" s="1098"/>
      <c r="AX210" s="1098"/>
      <c r="AY210" s="1098"/>
      <c r="AZ210" s="20"/>
    </row>
    <row r="211" spans="1:52" ht="12.75" customHeight="1">
      <c r="A211" s="20"/>
      <c r="B211" s="3423"/>
      <c r="C211" s="3423"/>
      <c r="D211" s="3423"/>
      <c r="E211" s="3423"/>
      <c r="F211" s="3423"/>
      <c r="G211" s="3423"/>
      <c r="H211" s="3423"/>
      <c r="I211" s="3423"/>
      <c r="J211" s="3423"/>
      <c r="K211" s="3423"/>
      <c r="L211" s="3423"/>
      <c r="M211" s="3423"/>
      <c r="N211" s="3423"/>
      <c r="O211" s="3423"/>
      <c r="P211" s="3423"/>
      <c r="Q211" s="3423"/>
      <c r="R211" s="3423"/>
      <c r="S211" s="3423"/>
      <c r="T211" s="3423"/>
      <c r="U211" s="1979"/>
      <c r="V211" s="1691"/>
      <c r="W211" s="1098"/>
      <c r="X211" s="1098"/>
      <c r="Y211" s="1098"/>
      <c r="Z211" s="1098"/>
      <c r="AA211" s="1098"/>
      <c r="AB211" s="1098"/>
      <c r="AC211" s="1098"/>
      <c r="AD211" s="1098"/>
      <c r="AE211" s="1098"/>
      <c r="AF211" s="1098"/>
      <c r="AG211" s="1098"/>
      <c r="AH211" s="1098"/>
      <c r="AI211" s="1098"/>
      <c r="AJ211" s="1098"/>
      <c r="AK211" s="1098"/>
      <c r="AL211" s="1098"/>
      <c r="AM211" s="1098"/>
      <c r="AN211" s="1098"/>
      <c r="AO211" s="1098"/>
      <c r="AP211" s="1098"/>
      <c r="AQ211" s="1098"/>
      <c r="AR211" s="1098"/>
      <c r="AS211" s="1098"/>
      <c r="AT211" s="1098"/>
      <c r="AU211" s="1098"/>
      <c r="AV211" s="1098"/>
      <c r="AW211" s="1098"/>
      <c r="AX211" s="1098"/>
      <c r="AY211" s="1098"/>
      <c r="AZ211" s="20"/>
    </row>
    <row r="212" spans="1:52" ht="12.75" customHeight="1">
      <c r="A212" s="20"/>
      <c r="B212" s="3423"/>
      <c r="C212" s="3423"/>
      <c r="D212" s="3423"/>
      <c r="E212" s="3423"/>
      <c r="F212" s="3423"/>
      <c r="G212" s="3423"/>
      <c r="H212" s="3423"/>
      <c r="I212" s="3423"/>
      <c r="J212" s="3423"/>
      <c r="K212" s="3423"/>
      <c r="L212" s="3423"/>
      <c r="M212" s="3423"/>
      <c r="N212" s="3423"/>
      <c r="O212" s="3423"/>
      <c r="P212" s="3423"/>
      <c r="Q212" s="3423"/>
      <c r="R212" s="3423"/>
      <c r="S212" s="3423"/>
      <c r="T212" s="3423"/>
      <c r="U212" s="1979"/>
      <c r="V212" s="1979"/>
      <c r="W212" s="1098"/>
      <c r="X212" s="1098"/>
      <c r="Y212" s="1098"/>
      <c r="Z212" s="1098"/>
      <c r="AA212" s="1098"/>
      <c r="AB212" s="1098"/>
      <c r="AC212" s="1098"/>
      <c r="AD212" s="1098"/>
      <c r="AE212" s="1098"/>
      <c r="AF212" s="1098"/>
      <c r="AG212" s="1098"/>
      <c r="AH212" s="1098"/>
      <c r="AI212" s="1098"/>
      <c r="AJ212" s="1098"/>
      <c r="AK212" s="1098"/>
      <c r="AL212" s="1098"/>
      <c r="AM212" s="1098"/>
      <c r="AN212" s="1098"/>
      <c r="AO212" s="1098"/>
      <c r="AP212" s="1098"/>
      <c r="AQ212" s="1098"/>
      <c r="AR212" s="1098"/>
      <c r="AS212" s="1098"/>
      <c r="AT212" s="1098"/>
      <c r="AU212" s="1098"/>
      <c r="AV212" s="1098"/>
      <c r="AW212" s="1098"/>
      <c r="AX212" s="1098"/>
      <c r="AY212" s="1098"/>
      <c r="AZ212" s="20"/>
    </row>
    <row r="213" spans="1:52" ht="12.75" customHeight="1">
      <c r="A213" s="20"/>
      <c r="B213" s="3423"/>
      <c r="C213" s="3423"/>
      <c r="D213" s="3423"/>
      <c r="E213" s="3423"/>
      <c r="F213" s="3423"/>
      <c r="G213" s="3423"/>
      <c r="H213" s="3423"/>
      <c r="I213" s="3423"/>
      <c r="J213" s="3423"/>
      <c r="K213" s="3423"/>
      <c r="L213" s="3423"/>
      <c r="M213" s="3423"/>
      <c r="N213" s="3423"/>
      <c r="O213" s="3423"/>
      <c r="P213" s="3423"/>
      <c r="Q213" s="3423"/>
      <c r="R213" s="3423"/>
      <c r="S213" s="3423"/>
      <c r="T213" s="3423"/>
      <c r="U213" s="1979"/>
      <c r="V213" s="1979"/>
      <c r="W213" s="1098"/>
      <c r="X213" s="1098"/>
      <c r="Y213" s="1098"/>
      <c r="Z213" s="1098"/>
      <c r="AA213" s="1098"/>
      <c r="AB213" s="1098"/>
      <c r="AC213" s="1098"/>
      <c r="AD213" s="1098"/>
      <c r="AE213" s="1098"/>
      <c r="AF213" s="1098"/>
      <c r="AG213" s="1098"/>
      <c r="AH213" s="1098"/>
      <c r="AI213" s="1098"/>
      <c r="AJ213" s="1098"/>
      <c r="AK213" s="1098"/>
      <c r="AL213" s="1098"/>
      <c r="AM213" s="1098"/>
      <c r="AN213" s="1098"/>
      <c r="AO213" s="1098"/>
      <c r="AP213" s="1098"/>
      <c r="AQ213" s="1098"/>
      <c r="AR213" s="1098"/>
      <c r="AS213" s="1098"/>
      <c r="AT213" s="1098"/>
      <c r="AU213" s="1098"/>
      <c r="AV213" s="1098"/>
      <c r="AW213" s="1098"/>
      <c r="AX213" s="1098"/>
      <c r="AY213" s="1098"/>
      <c r="AZ213" s="20"/>
    </row>
    <row r="214" spans="1:52" ht="12.75" customHeight="1">
      <c r="A214" s="20"/>
      <c r="B214" s="3423"/>
      <c r="C214" s="3423"/>
      <c r="D214" s="3423"/>
      <c r="E214" s="3423"/>
      <c r="F214" s="3423"/>
      <c r="G214" s="3423"/>
      <c r="H214" s="3423"/>
      <c r="I214" s="3423"/>
      <c r="J214" s="3423"/>
      <c r="K214" s="3423"/>
      <c r="L214" s="3423"/>
      <c r="M214" s="3423"/>
      <c r="N214" s="3423"/>
      <c r="O214" s="3423"/>
      <c r="P214" s="3423"/>
      <c r="Q214" s="3423"/>
      <c r="R214" s="3423"/>
      <c r="S214" s="3423"/>
      <c r="T214" s="3423"/>
      <c r="U214" s="1098"/>
      <c r="V214" s="1691"/>
      <c r="W214" s="1098"/>
      <c r="X214" s="1098"/>
      <c r="Y214" s="1098"/>
      <c r="Z214" s="1098"/>
      <c r="AA214" s="1098"/>
      <c r="AB214" s="1098"/>
      <c r="AC214" s="1098"/>
      <c r="AD214" s="1098"/>
      <c r="AE214" s="1098"/>
      <c r="AF214" s="1098"/>
      <c r="AG214" s="1098"/>
      <c r="AH214" s="1098"/>
      <c r="AI214" s="1098"/>
      <c r="AJ214" s="1098"/>
      <c r="AK214" s="1098"/>
      <c r="AL214" s="1098"/>
      <c r="AM214" s="1098"/>
      <c r="AN214" s="1098"/>
      <c r="AO214" s="1098"/>
      <c r="AP214" s="1098"/>
      <c r="AQ214" s="1098"/>
      <c r="AR214" s="1098"/>
      <c r="AS214" s="1098"/>
      <c r="AT214" s="1098"/>
      <c r="AU214" s="1098"/>
      <c r="AV214" s="1098"/>
      <c r="AW214" s="1098"/>
      <c r="AX214" s="1098"/>
      <c r="AY214" s="1098"/>
      <c r="AZ214" s="20"/>
    </row>
    <row r="215" spans="1:52" ht="12.75" customHeight="1">
      <c r="A215" s="20"/>
      <c r="B215" s="20"/>
      <c r="C215" s="1322">
        <v>0.04</v>
      </c>
      <c r="D215" s="1333">
        <v>0.04</v>
      </c>
      <c r="E215" s="20"/>
      <c r="F215" s="20"/>
      <c r="G215" s="537"/>
      <c r="H215" s="3424" t="s">
        <v>188</v>
      </c>
      <c r="I215" s="3424"/>
      <c r="J215" s="20"/>
      <c r="K215" s="1506"/>
      <c r="L215" s="20"/>
      <c r="M215" s="20"/>
      <c r="N215" s="20"/>
      <c r="O215" s="20"/>
      <c r="P215" s="20"/>
      <c r="Q215" s="537"/>
      <c r="R215" s="537"/>
      <c r="S215" s="20"/>
      <c r="T215" s="1098"/>
      <c r="U215" s="1098"/>
      <c r="V215" s="1098"/>
      <c r="W215" s="1098"/>
      <c r="X215" s="1098"/>
      <c r="Y215" s="1098"/>
      <c r="Z215" s="1098"/>
      <c r="AA215" s="1098"/>
      <c r="AB215" s="1098"/>
      <c r="AC215" s="1098"/>
      <c r="AD215" s="1098"/>
      <c r="AE215" s="1098"/>
      <c r="AF215" s="1098"/>
      <c r="AG215" s="1098"/>
      <c r="AH215" s="1098"/>
      <c r="AI215" s="1098"/>
      <c r="AJ215" s="1098"/>
      <c r="AK215" s="1098"/>
      <c r="AL215" s="1098"/>
      <c r="AM215" s="1098"/>
      <c r="AN215" s="1098"/>
      <c r="AO215" s="1098"/>
      <c r="AP215" s="1098"/>
      <c r="AQ215" s="1098"/>
      <c r="AR215" s="1098"/>
      <c r="AS215" s="1098"/>
      <c r="AT215" s="1098"/>
      <c r="AU215" s="1098"/>
      <c r="AV215" s="1098"/>
      <c r="AW215" s="1098"/>
      <c r="AX215" s="1098"/>
      <c r="AY215" s="1098"/>
      <c r="AZ215" s="20"/>
    </row>
    <row r="216" spans="1:52" ht="12.75" customHeight="1">
      <c r="A216" s="20"/>
      <c r="B216" s="20"/>
      <c r="C216" s="1507">
        <v>4.1500000000000004</v>
      </c>
      <c r="D216" s="1508">
        <v>4.1500000000000004</v>
      </c>
      <c r="E216" s="20"/>
      <c r="F216" s="20"/>
      <c r="G216" s="537"/>
      <c r="H216" s="3425" t="s">
        <v>604</v>
      </c>
      <c r="I216" s="3426"/>
      <c r="J216" s="1509">
        <v>1</v>
      </c>
      <c r="K216" s="3427" t="s">
        <v>605</v>
      </c>
      <c r="L216" s="3428"/>
      <c r="M216" s="3429"/>
      <c r="N216" s="1509">
        <v>1</v>
      </c>
      <c r="O216" s="3427" t="s">
        <v>606</v>
      </c>
      <c r="P216" s="3428"/>
      <c r="Q216" s="3429"/>
      <c r="R216" s="1334">
        <v>69</v>
      </c>
      <c r="S216" s="1235" t="s">
        <v>216</v>
      </c>
      <c r="T216" s="1098"/>
      <c r="U216" s="1098"/>
      <c r="V216" s="1098"/>
      <c r="W216" s="1098"/>
      <c r="X216" s="1098"/>
      <c r="Y216" s="1098"/>
      <c r="Z216" s="1098"/>
      <c r="AA216" s="1098"/>
      <c r="AB216" s="1098"/>
      <c r="AC216" s="1098"/>
      <c r="AD216" s="1098"/>
      <c r="AE216" s="1098"/>
      <c r="AF216" s="1098"/>
      <c r="AG216" s="1098"/>
      <c r="AH216" s="1098"/>
      <c r="AI216" s="1098"/>
      <c r="AJ216" s="1098"/>
      <c r="AK216" s="1098"/>
      <c r="AL216" s="1098"/>
      <c r="AM216" s="1098"/>
      <c r="AN216" s="1098"/>
      <c r="AO216" s="1098"/>
      <c r="AP216" s="1098"/>
      <c r="AQ216" s="1098"/>
      <c r="AR216" s="1098"/>
      <c r="AS216" s="1098"/>
      <c r="AT216" s="1098"/>
      <c r="AU216" s="1098"/>
      <c r="AV216" s="1098"/>
      <c r="AW216" s="1098"/>
      <c r="AX216" s="1098"/>
      <c r="AY216" s="1098"/>
      <c r="AZ216" s="20"/>
    </row>
    <row r="217" spans="1:52" ht="12.75" customHeight="1">
      <c r="A217" s="20"/>
      <c r="B217" s="20"/>
      <c r="C217" s="3417" t="s">
        <v>642</v>
      </c>
      <c r="D217" s="3417" t="s">
        <v>644</v>
      </c>
      <c r="E217" s="20"/>
      <c r="F217" s="20"/>
      <c r="G217" s="20"/>
      <c r="H217" s="20"/>
      <c r="I217" s="20"/>
      <c r="J217" s="3419" t="s">
        <v>835</v>
      </c>
      <c r="K217" s="3419"/>
      <c r="L217" s="3419"/>
      <c r="M217" s="3419"/>
      <c r="N217" s="3419"/>
      <c r="O217" s="3419"/>
      <c r="P217" s="3419"/>
      <c r="Q217" s="3419"/>
      <c r="R217" s="3419"/>
      <c r="S217" s="3419"/>
      <c r="T217" s="1098"/>
      <c r="U217" s="1098"/>
      <c r="V217" s="1098"/>
      <c r="W217" s="1098"/>
      <c r="X217" s="1098"/>
      <c r="Y217" s="1098"/>
      <c r="Z217" s="1098"/>
      <c r="AA217" s="1098"/>
      <c r="AB217" s="1098"/>
      <c r="AC217" s="1098"/>
      <c r="AD217" s="1098"/>
      <c r="AE217" s="1098"/>
      <c r="AF217" s="1098"/>
      <c r="AG217" s="1098"/>
      <c r="AH217" s="1098"/>
      <c r="AI217" s="1098"/>
      <c r="AJ217" s="1098"/>
      <c r="AK217" s="1098"/>
      <c r="AL217" s="1098"/>
      <c r="AM217" s="1098"/>
      <c r="AN217" s="1098"/>
      <c r="AO217" s="1098"/>
      <c r="AP217" s="1098"/>
      <c r="AQ217" s="1098"/>
      <c r="AR217" s="1098"/>
      <c r="AS217" s="1098"/>
      <c r="AT217" s="1098"/>
      <c r="AU217" s="1098"/>
      <c r="AV217" s="1098"/>
      <c r="AW217" s="1098"/>
      <c r="AX217" s="1098"/>
      <c r="AY217" s="1098"/>
      <c r="AZ217" s="20"/>
    </row>
    <row r="218" spans="1:52" ht="12.75" customHeight="1">
      <c r="A218" s="20"/>
      <c r="B218" s="20"/>
      <c r="C218" s="3418"/>
      <c r="D218" s="3418"/>
      <c r="E218" s="20"/>
      <c r="F218" s="20"/>
      <c r="G218" s="20"/>
      <c r="H218" s="20"/>
      <c r="I218" s="20"/>
      <c r="J218" s="20"/>
      <c r="K218" s="20"/>
      <c r="L218" s="20"/>
      <c r="M218" s="20"/>
      <c r="N218" s="20"/>
      <c r="O218" s="20"/>
      <c r="P218" s="20"/>
      <c r="Q218" s="20"/>
      <c r="R218" s="20"/>
      <c r="S218" s="20"/>
      <c r="T218" s="1098"/>
      <c r="U218" s="1098"/>
      <c r="V218" s="1098"/>
      <c r="W218" s="1098"/>
      <c r="X218" s="1098"/>
      <c r="Y218" s="1098"/>
      <c r="Z218" s="1098"/>
      <c r="AA218" s="1098"/>
      <c r="AB218" s="1098"/>
      <c r="AC218" s="1098"/>
      <c r="AD218" s="1098"/>
      <c r="AE218" s="1098"/>
      <c r="AF218" s="1098"/>
      <c r="AG218" s="1098"/>
      <c r="AH218" s="1098"/>
      <c r="AI218" s="1098"/>
      <c r="AJ218" s="1098"/>
      <c r="AK218" s="1098"/>
      <c r="AL218" s="1098"/>
      <c r="AM218" s="1098"/>
      <c r="AN218" s="1098"/>
      <c r="AO218" s="1098"/>
      <c r="AP218" s="1098"/>
      <c r="AQ218" s="1098"/>
      <c r="AR218" s="1098"/>
      <c r="AS218" s="1098"/>
      <c r="AT218" s="1098"/>
      <c r="AU218" s="1098"/>
      <c r="AV218" s="1098"/>
      <c r="AW218" s="1098"/>
      <c r="AX218" s="1098"/>
      <c r="AY218" s="1098"/>
      <c r="AZ218" s="20"/>
    </row>
  </sheetData>
  <sheetProtection password="FA80" sheet="1" objects="1" scenarios="1"/>
  <mergeCells count="291">
    <mergeCell ref="AR16:AS16"/>
    <mergeCell ref="AR18:AS18"/>
    <mergeCell ref="AR19:AS19"/>
    <mergeCell ref="AR20:AS20"/>
    <mergeCell ref="AR21:AS21"/>
    <mergeCell ref="AR22:AS22"/>
    <mergeCell ref="AR23:AS23"/>
    <mergeCell ref="AR24:AS24"/>
    <mergeCell ref="AW76:AW84"/>
    <mergeCell ref="AN74:AW74"/>
    <mergeCell ref="AU33:AV33"/>
    <mergeCell ref="AO35:AP35"/>
    <mergeCell ref="AR35:AS35"/>
    <mergeCell ref="AO36:AP36"/>
    <mergeCell ref="AR36:AS36"/>
    <mergeCell ref="AO37:AP37"/>
    <mergeCell ref="AR37:AS37"/>
    <mergeCell ref="AP30:AQ30"/>
    <mergeCell ref="AR30:AT30"/>
    <mergeCell ref="AU30:AV30"/>
    <mergeCell ref="AP31:AQ31"/>
    <mergeCell ref="AR31:AT31"/>
    <mergeCell ref="AU31:AV31"/>
    <mergeCell ref="AP32:AQ32"/>
    <mergeCell ref="J163:N163"/>
    <mergeCell ref="J164:N164"/>
    <mergeCell ref="J174:N174"/>
    <mergeCell ref="J175:N175"/>
    <mergeCell ref="AR15:AS15"/>
    <mergeCell ref="AR5:AS5"/>
    <mergeCell ref="AR6:AS6"/>
    <mergeCell ref="AR7:AS7"/>
    <mergeCell ref="AR8:AS8"/>
    <mergeCell ref="AR10:AS10"/>
    <mergeCell ref="AR11:AS11"/>
    <mergeCell ref="AR12:AS12"/>
    <mergeCell ref="AR13:AS13"/>
    <mergeCell ref="AR14:AS14"/>
    <mergeCell ref="AO38:AP38"/>
    <mergeCell ref="AR38:AS38"/>
    <mergeCell ref="AO39:AP39"/>
    <mergeCell ref="AR39:AS39"/>
    <mergeCell ref="AO40:AP40"/>
    <mergeCell ref="AR40:AS40"/>
    <mergeCell ref="AO41:AP41"/>
    <mergeCell ref="AR41:AS41"/>
    <mergeCell ref="AP33:AQ33"/>
    <mergeCell ref="AR33:AT33"/>
    <mergeCell ref="AR32:AT32"/>
    <mergeCell ref="AU32:AV32"/>
    <mergeCell ref="AN26:AO26"/>
    <mergeCell ref="AP27:AQ27"/>
    <mergeCell ref="AR27:AT27"/>
    <mergeCell ref="AU27:AV27"/>
    <mergeCell ref="AP28:AQ28"/>
    <mergeCell ref="AR28:AT28"/>
    <mergeCell ref="AU28:AV28"/>
    <mergeCell ref="AP29:AQ29"/>
    <mergeCell ref="AR29:AT29"/>
    <mergeCell ref="AU29:AV29"/>
    <mergeCell ref="AO15:AP15"/>
    <mergeCell ref="AO16:AP16"/>
    <mergeCell ref="AO18:AP18"/>
    <mergeCell ref="AO19:AP19"/>
    <mergeCell ref="AO20:AP20"/>
    <mergeCell ref="AO21:AP21"/>
    <mergeCell ref="AO22:AP22"/>
    <mergeCell ref="AO23:AP23"/>
    <mergeCell ref="AO24:AP24"/>
    <mergeCell ref="AO5:AP5"/>
    <mergeCell ref="AO6:AP6"/>
    <mergeCell ref="AO7:AP7"/>
    <mergeCell ref="AO8:AP8"/>
    <mergeCell ref="AO10:AP10"/>
    <mergeCell ref="AO11:AP11"/>
    <mergeCell ref="AO12:AP12"/>
    <mergeCell ref="AO13:AP13"/>
    <mergeCell ref="AO14:AP14"/>
    <mergeCell ref="A1:B1"/>
    <mergeCell ref="R1:T1"/>
    <mergeCell ref="BC1:BE1"/>
    <mergeCell ref="BI1:BK1"/>
    <mergeCell ref="R2:T2"/>
    <mergeCell ref="BD2:BF2"/>
    <mergeCell ref="BH2:BI2"/>
    <mergeCell ref="BJ2:BK2"/>
    <mergeCell ref="G1:K1"/>
    <mergeCell ref="U1:AL1"/>
    <mergeCell ref="AN1:AO1"/>
    <mergeCell ref="AO2:AP2"/>
    <mergeCell ref="AR2:AS2"/>
    <mergeCell ref="B3:N3"/>
    <mergeCell ref="R3:T3"/>
    <mergeCell ref="BD3:BF3"/>
    <mergeCell ref="BH3:BI3"/>
    <mergeCell ref="BJ3:BK3"/>
    <mergeCell ref="B4:J4"/>
    <mergeCell ref="K4:O4"/>
    <mergeCell ref="BH4:BI4"/>
    <mergeCell ref="BJ4:BK4"/>
    <mergeCell ref="AO3:AP3"/>
    <mergeCell ref="AO4:AP4"/>
    <mergeCell ref="AR3:AS3"/>
    <mergeCell ref="AR4:AS4"/>
    <mergeCell ref="D8:F8"/>
    <mergeCell ref="I8:K8"/>
    <mergeCell ref="D9:F9"/>
    <mergeCell ref="I9:K9"/>
    <mergeCell ref="D10:F10"/>
    <mergeCell ref="I10:K10"/>
    <mergeCell ref="B6:C6"/>
    <mergeCell ref="D6:G6"/>
    <mergeCell ref="I6:Q6"/>
    <mergeCell ref="D7:F7"/>
    <mergeCell ref="I7:J7"/>
    <mergeCell ref="K7:M7"/>
    <mergeCell ref="D11:F11"/>
    <mergeCell ref="I11:K11"/>
    <mergeCell ref="D12:G12"/>
    <mergeCell ref="I12:K12"/>
    <mergeCell ref="D13:G13"/>
    <mergeCell ref="H13:H14"/>
    <mergeCell ref="I13:K13"/>
    <mergeCell ref="D14:G14"/>
    <mergeCell ref="I14:K14"/>
    <mergeCell ref="D24:F24"/>
    <mergeCell ref="L24:Q24"/>
    <mergeCell ref="D25:I25"/>
    <mergeCell ref="L25:Q25"/>
    <mergeCell ref="D26:E26"/>
    <mergeCell ref="A29:C29"/>
    <mergeCell ref="H29:K29"/>
    <mergeCell ref="N29:Q29"/>
    <mergeCell ref="D15:G15"/>
    <mergeCell ref="A22:C22"/>
    <mergeCell ref="D22:I22"/>
    <mergeCell ref="J22:M22"/>
    <mergeCell ref="J23:K23"/>
    <mergeCell ref="L23:Q23"/>
    <mergeCell ref="N27:O27"/>
    <mergeCell ref="N26:Q26"/>
    <mergeCell ref="K30:M30"/>
    <mergeCell ref="B34:D34"/>
    <mergeCell ref="H34:J37"/>
    <mergeCell ref="K34:P34"/>
    <mergeCell ref="Q34:S34"/>
    <mergeCell ref="C35:D35"/>
    <mergeCell ref="K35:P35"/>
    <mergeCell ref="Q35:S35"/>
    <mergeCell ref="K36:M36"/>
    <mergeCell ref="N36:P36"/>
    <mergeCell ref="Q36:S36"/>
    <mergeCell ref="K37:K38"/>
    <mergeCell ref="L37:L38"/>
    <mergeCell ref="M37:M38"/>
    <mergeCell ref="N37:N38"/>
    <mergeCell ref="O37:O38"/>
    <mergeCell ref="P37:P38"/>
    <mergeCell ref="Q37:Q38"/>
    <mergeCell ref="R37:R38"/>
    <mergeCell ref="S37:S38"/>
    <mergeCell ref="AC37:AE37"/>
    <mergeCell ref="A38:A52"/>
    <mergeCell ref="H38:I38"/>
    <mergeCell ref="H39:I39"/>
    <mergeCell ref="H40:I40"/>
    <mergeCell ref="H41:I41"/>
    <mergeCell ref="H42:I42"/>
    <mergeCell ref="H43:I43"/>
    <mergeCell ref="H44:I44"/>
    <mergeCell ref="H45:I45"/>
    <mergeCell ref="A53:A57"/>
    <mergeCell ref="H53:I53"/>
    <mergeCell ref="H54:I54"/>
    <mergeCell ref="H55:I55"/>
    <mergeCell ref="C56:E56"/>
    <mergeCell ref="H56:I56"/>
    <mergeCell ref="D57:E57"/>
    <mergeCell ref="H57:I57"/>
    <mergeCell ref="H46:I46"/>
    <mergeCell ref="H47:I47"/>
    <mergeCell ref="H48:I48"/>
    <mergeCell ref="H49:I49"/>
    <mergeCell ref="H50:I50"/>
    <mergeCell ref="H51:I51"/>
    <mergeCell ref="D58:E58"/>
    <mergeCell ref="H58:J58"/>
    <mergeCell ref="L58:M58"/>
    <mergeCell ref="O58:P58"/>
    <mergeCell ref="R58:S58"/>
    <mergeCell ref="D59:E59"/>
    <mergeCell ref="H59:N59"/>
    <mergeCell ref="O59:S59"/>
    <mergeCell ref="H52:I52"/>
    <mergeCell ref="AO61:AQ61"/>
    <mergeCell ref="AR61:AT61"/>
    <mergeCell ref="AU61:AW61"/>
    <mergeCell ref="B62:E62"/>
    <mergeCell ref="H62:J62"/>
    <mergeCell ref="D63:E63"/>
    <mergeCell ref="H63:J63"/>
    <mergeCell ref="D60:G60"/>
    <mergeCell ref="H60:J60"/>
    <mergeCell ref="L60:M61"/>
    <mergeCell ref="O60:P61"/>
    <mergeCell ref="R60:S61"/>
    <mergeCell ref="D61:E61"/>
    <mergeCell ref="H61:J61"/>
    <mergeCell ref="AU66:AW66"/>
    <mergeCell ref="B70:I70"/>
    <mergeCell ref="B71:I71"/>
    <mergeCell ref="R75:S75"/>
    <mergeCell ref="R76:S76"/>
    <mergeCell ref="H64:J64"/>
    <mergeCell ref="H65:J65"/>
    <mergeCell ref="H66:J66"/>
    <mergeCell ref="AO66:AQ66"/>
    <mergeCell ref="AR66:AT66"/>
    <mergeCell ref="B67:G67"/>
    <mergeCell ref="Q67:S70"/>
    <mergeCell ref="B66:G66"/>
    <mergeCell ref="D65:E65"/>
    <mergeCell ref="N97:Q97"/>
    <mergeCell ref="R97:T97"/>
    <mergeCell ref="R78:S78"/>
    <mergeCell ref="S81:T81"/>
    <mergeCell ref="S82:T82"/>
    <mergeCell ref="B94:C96"/>
    <mergeCell ref="H94:K94"/>
    <mergeCell ref="N94:Q94"/>
    <mergeCell ref="R94:T94"/>
    <mergeCell ref="H95:K95"/>
    <mergeCell ref="N95:Q95"/>
    <mergeCell ref="R95:T95"/>
    <mergeCell ref="BA134:BB134"/>
    <mergeCell ref="BC134:BD134"/>
    <mergeCell ref="BF134:BJ134"/>
    <mergeCell ref="BC135:BD135"/>
    <mergeCell ref="BG135:BH135"/>
    <mergeCell ref="A104:A118"/>
    <mergeCell ref="A119:A121"/>
    <mergeCell ref="B123:M123"/>
    <mergeCell ref="K124:L124"/>
    <mergeCell ref="F125:G125"/>
    <mergeCell ref="H125:H126"/>
    <mergeCell ref="L134:Q141"/>
    <mergeCell ref="AN56:AQ56"/>
    <mergeCell ref="AO57:AW57"/>
    <mergeCell ref="AO58:AW58"/>
    <mergeCell ref="AO59:AX59"/>
    <mergeCell ref="C217:C218"/>
    <mergeCell ref="D217:D218"/>
    <mergeCell ref="J217:S217"/>
    <mergeCell ref="B191:F191"/>
    <mergeCell ref="B192:F192"/>
    <mergeCell ref="B193:H193"/>
    <mergeCell ref="B195:T214"/>
    <mergeCell ref="H215:I215"/>
    <mergeCell ref="H216:I216"/>
    <mergeCell ref="K216:M216"/>
    <mergeCell ref="O216:Q216"/>
    <mergeCell ref="B98:G98"/>
    <mergeCell ref="H98:K98"/>
    <mergeCell ref="N98:Q98"/>
    <mergeCell ref="R98:T98"/>
    <mergeCell ref="A100:B100"/>
    <mergeCell ref="H96:K96"/>
    <mergeCell ref="N96:Q96"/>
    <mergeCell ref="R96:T96"/>
    <mergeCell ref="H97:K97"/>
    <mergeCell ref="AN43:AT43"/>
    <mergeCell ref="AO51:AP51"/>
    <mergeCell ref="AR51:AS51"/>
    <mergeCell ref="AO52:AP52"/>
    <mergeCell ref="AR52:AS52"/>
    <mergeCell ref="AO53:AP53"/>
    <mergeCell ref="AR53:AS53"/>
    <mergeCell ref="AR44:AS44"/>
    <mergeCell ref="AO44:AP44"/>
    <mergeCell ref="AO45:AP45"/>
    <mergeCell ref="AO46:AP46"/>
    <mergeCell ref="AO47:AP47"/>
    <mergeCell ref="AO48:AP48"/>
    <mergeCell ref="AO49:AP49"/>
    <mergeCell ref="AO50:AP50"/>
    <mergeCell ref="AR50:AS50"/>
    <mergeCell ref="AR45:AS45"/>
    <mergeCell ref="AR46:AS46"/>
    <mergeCell ref="AR47:AS47"/>
    <mergeCell ref="AR48:AS48"/>
    <mergeCell ref="AR49:AS49"/>
  </mergeCells>
  <conditionalFormatting sqref="C63">
    <cfRule type="cellIs" dxfId="12" priority="2" stopIfTrue="1" operator="notBetween">
      <formula>75.5</formula>
      <formula>76.5</formula>
    </cfRule>
  </conditionalFormatting>
  <hyperlinks>
    <hyperlink ref="R98" r:id="rId1"/>
    <hyperlink ref="D22" location="'Beer Calc. 1.8 (2)'!A165" display="To amend/modify any data, please refer to the &quot;Technical Section&quot;."/>
    <hyperlink ref="R95" r:id="rId2"/>
    <hyperlink ref="R97" r:id="rId3" display="mailto:david.barrow@live.co.uk"/>
    <hyperlink ref="K4" location="'Extract Calc. (1.9)'!_Toc269412869" display="See the &quot;Extract Calc.&quot;"/>
    <hyperlink ref="R96" r:id="rId4"/>
    <hyperlink ref="B62:D62" location="Primer!D1" display="For more info. about &quot;cabonation&quot; see &quot;Beer Primer&quot; page."/>
    <hyperlink ref="BI1" r:id="rId5"/>
    <hyperlink ref="R2" r:id="rId6"/>
    <hyperlink ref="H58" location="'Beer Calc'!H216" display="Isomerised hop extract  (ml)"/>
    <hyperlink ref="BI6" r:id="rId7" display="www.petespintpot.co.uk"/>
    <hyperlink ref="K4:O4" location="'Extract Calc'!B27" display="(For details, see the &quot;Extract Calc.&quot;)"/>
    <hyperlink ref="H58:J58" location="'Beer Calc'!H214" display="Isomerised hop extract  (ml)"/>
    <hyperlink ref="AZ134" r:id="rId8" display="https://byo.com"/>
    <hyperlink ref="D22:I22" location="'Beer Calc'!A100" display="To amend/modify any data, please refer to the &quot;Technical Section&quot;."/>
    <hyperlink ref="K30:M30" location="'Beer Calc'!C25" display="Dependant on cell C25"/>
    <hyperlink ref="D63:E63" location="'Beer Calc'!BI4" display="(76% nominally)"/>
    <hyperlink ref="C12" location="'Beer Calc'!K36" display="'Beer Calc'!K36"/>
    <hyperlink ref="C13" location="'Beer Calc'!O36" display="'Beer Calc'!O36"/>
    <hyperlink ref="C14" location="'Beer Calc'!R36" display="'Beer Calc'!R36"/>
    <hyperlink ref="B57" location="'Beer Calc'!AN56" display="Priming sugar"/>
    <hyperlink ref="H13:H14" location="'Beer Calc'!AW77" display="'Beer Calc'!AW77"/>
  </hyperlinks>
  <printOptions horizontalCentered="1"/>
  <pageMargins left="0.19685039370078741" right="0.19685039370078741" top="0.31496062992125984" bottom="0.6692913385826772" header="0.11811023622047245" footer="0.15748031496062992"/>
  <pageSetup paperSize="9" scale="51" orientation="portrait" r:id="rId9"/>
  <headerFooter alignWithMargins="0">
    <oddFooter>&amp;L&amp;8&amp;Z&amp;F&amp;C&amp;8P &amp;P of &amp;N&amp;R&amp;8&amp;T   &amp;D</oddFooter>
  </headerFooter>
  <drawing r:id="rId10"/>
</worksheet>
</file>

<file path=xl/worksheets/sheet5.xml><?xml version="1.0" encoding="utf-8"?>
<worksheet xmlns="http://schemas.openxmlformats.org/spreadsheetml/2006/main" xmlns:r="http://schemas.openxmlformats.org/officeDocument/2006/relationships">
  <sheetPr>
    <tabColor theme="7" tint="0.59999389629810485"/>
    <pageSetUpPr fitToPage="1"/>
  </sheetPr>
  <dimension ref="A1:AX149"/>
  <sheetViews>
    <sheetView zoomScale="75" zoomScaleNormal="75" workbookViewId="0">
      <selection activeCell="K28" sqref="K28"/>
    </sheetView>
  </sheetViews>
  <sheetFormatPr defaultColWidth="12.42578125" defaultRowHeight="15"/>
  <cols>
    <col min="1" max="1" width="1" style="252" customWidth="1"/>
    <col min="2" max="2" width="3.28515625" style="252" customWidth="1"/>
    <col min="3" max="3" width="32" style="252" customWidth="1"/>
    <col min="4" max="8" width="9" style="252" customWidth="1"/>
    <col min="9" max="9" width="9.28515625" style="252" customWidth="1"/>
    <col min="10" max="10" width="21" style="252" customWidth="1"/>
    <col min="11" max="11" width="10.140625" style="252" customWidth="1"/>
    <col min="12" max="12" width="8.42578125" style="252" customWidth="1"/>
    <col min="13" max="13" width="9" style="252" customWidth="1"/>
    <col min="14" max="15" width="8.42578125" style="252" customWidth="1"/>
    <col min="16" max="16" width="8.7109375" style="252" customWidth="1"/>
    <col min="17" max="18" width="8.42578125" style="252" customWidth="1"/>
    <col min="19" max="19" width="9" style="252" customWidth="1"/>
    <col min="20" max="20" width="9.5703125" style="252" customWidth="1"/>
    <col min="21" max="21" width="1.5703125" style="252" customWidth="1"/>
    <col min="22" max="22" width="8.28515625" style="252" hidden="1" customWidth="1"/>
    <col min="23" max="23" width="7.42578125" style="252" hidden="1" customWidth="1"/>
    <col min="24" max="24" width="9.140625" style="252" hidden="1" customWidth="1"/>
    <col min="25" max="25" width="11.7109375" style="252" hidden="1" customWidth="1"/>
    <col min="26" max="26" width="8.5703125" style="252" hidden="1" customWidth="1"/>
    <col min="27" max="27" width="7.42578125" style="252" hidden="1" customWidth="1"/>
    <col min="28" max="38" width="7" style="252" hidden="1" customWidth="1"/>
    <col min="39" max="39" width="22.5703125" style="252" customWidth="1"/>
    <col min="40" max="40" width="6.85546875" style="252" customWidth="1"/>
    <col min="41" max="41" width="0.5703125" style="252" customWidth="1"/>
    <col min="42" max="42" width="6.85546875" style="252" customWidth="1"/>
    <col min="43" max="43" width="7.140625" style="252" customWidth="1"/>
    <col min="44" max="44" width="0.5703125" style="525" customWidth="1"/>
    <col min="45" max="46" width="6.85546875" style="252" customWidth="1"/>
    <col min="47" max="47" width="0.5703125" style="525" customWidth="1"/>
    <col min="48" max="48" width="6.7109375" style="252" customWidth="1"/>
    <col min="49" max="49" width="7.7109375" style="1711" customWidth="1"/>
    <col min="50" max="50" width="2.7109375" style="1711" customWidth="1"/>
    <col min="51" max="16384" width="12.42578125" style="1711"/>
  </cols>
  <sheetData>
    <row r="1" spans="1:50" ht="18.75" customHeight="1">
      <c r="A1" s="3645" t="s">
        <v>1799</v>
      </c>
      <c r="B1" s="3645"/>
      <c r="C1" s="3645"/>
      <c r="D1" s="1797"/>
      <c r="E1" s="1797"/>
      <c r="F1" s="415"/>
      <c r="G1" s="415"/>
      <c r="H1" s="413"/>
      <c r="I1" s="3769" t="s">
        <v>1608</v>
      </c>
      <c r="J1" s="3769"/>
      <c r="K1" s="3769"/>
      <c r="L1" s="3769"/>
      <c r="M1" s="3769"/>
      <c r="N1" s="415"/>
      <c r="O1" s="415"/>
      <c r="P1" s="415"/>
      <c r="Q1" s="416"/>
      <c r="R1" s="2171"/>
      <c r="S1" s="3770" t="s">
        <v>1798</v>
      </c>
      <c r="T1" s="3770"/>
      <c r="U1" s="2540"/>
      <c r="V1" s="304"/>
      <c r="W1" s="304"/>
      <c r="X1" s="304"/>
      <c r="Y1" s="304"/>
      <c r="Z1" s="304"/>
      <c r="AA1" s="304"/>
      <c r="AB1" s="304"/>
      <c r="AC1" s="304"/>
      <c r="AD1" s="304"/>
      <c r="AE1" s="304"/>
      <c r="AF1" s="304"/>
      <c r="AG1" s="304"/>
      <c r="AH1" s="304"/>
      <c r="AI1" s="304"/>
      <c r="AJ1" s="304"/>
      <c r="AK1" s="304"/>
      <c r="AL1" s="304"/>
      <c r="AM1" s="3627" t="s">
        <v>1651</v>
      </c>
      <c r="AN1" s="3202"/>
      <c r="AO1" s="2330"/>
      <c r="AP1" s="2330"/>
      <c r="AQ1" s="2330"/>
      <c r="AR1" s="2330"/>
      <c r="AS1" s="2412"/>
      <c r="AT1" s="2361"/>
      <c r="AU1" s="2361"/>
      <c r="AV1" s="2413"/>
      <c r="AW1" s="2331"/>
      <c r="AX1" s="1932"/>
    </row>
    <row r="2" spans="1:50" ht="16.5" customHeight="1">
      <c r="A2" s="2370"/>
      <c r="B2" s="2370"/>
      <c r="C2" s="2370"/>
      <c r="D2" s="417"/>
      <c r="E2" s="417"/>
      <c r="F2" s="276"/>
      <c r="G2" s="276"/>
      <c r="H2" s="276"/>
      <c r="I2" s="286"/>
      <c r="J2" s="3771" t="s">
        <v>1500</v>
      </c>
      <c r="K2" s="3771"/>
      <c r="L2" s="286"/>
      <c r="M2" s="2543"/>
      <c r="N2" s="2486"/>
      <c r="O2" s="2486"/>
      <c r="P2" s="2486"/>
      <c r="Q2" s="2486"/>
      <c r="R2" s="2995" t="s">
        <v>976</v>
      </c>
      <c r="S2" s="2995"/>
      <c r="T2" s="2995"/>
      <c r="U2" s="2477"/>
      <c r="V2" s="418"/>
      <c r="W2" s="418"/>
      <c r="X2" s="418"/>
      <c r="Y2" s="418"/>
      <c r="Z2" s="418"/>
      <c r="AA2" s="418"/>
      <c r="AB2" s="418"/>
      <c r="AC2" s="418"/>
      <c r="AD2" s="418"/>
      <c r="AE2" s="418"/>
      <c r="AF2" s="418"/>
      <c r="AG2" s="418"/>
      <c r="AH2" s="418"/>
      <c r="AI2" s="418"/>
      <c r="AJ2" s="418"/>
      <c r="AK2" s="418"/>
      <c r="AL2" s="418"/>
      <c r="AM2" s="2411"/>
      <c r="AN2" s="2529" t="s">
        <v>1652</v>
      </c>
      <c r="AO2" s="3201" t="s">
        <v>1653</v>
      </c>
      <c r="AP2" s="3191"/>
      <c r="AQ2" s="3638" t="s">
        <v>1654</v>
      </c>
      <c r="AR2" s="3192"/>
      <c r="AS2" s="2412"/>
      <c r="AT2" s="2529" t="s">
        <v>1653</v>
      </c>
      <c r="AU2" s="3201" t="s">
        <v>1652</v>
      </c>
      <c r="AV2" s="3191"/>
      <c r="AW2" s="2494" t="s">
        <v>1654</v>
      </c>
      <c r="AX2" s="1932"/>
    </row>
    <row r="3" spans="1:50" ht="16.5" customHeight="1">
      <c r="A3" s="2486"/>
      <c r="B3" s="1545"/>
      <c r="C3" s="1545"/>
      <c r="D3" s="1545"/>
      <c r="E3" s="1545"/>
      <c r="F3" s="1937"/>
      <c r="G3" s="1937"/>
      <c r="H3" s="1937"/>
      <c r="I3" s="1937"/>
      <c r="J3" s="1937"/>
      <c r="K3" s="1545"/>
      <c r="L3" s="381"/>
      <c r="M3" s="1938"/>
      <c r="N3" s="2486"/>
      <c r="O3" s="2485"/>
      <c r="P3" s="2486"/>
      <c r="Q3" s="2486"/>
      <c r="R3" s="2995" t="s">
        <v>376</v>
      </c>
      <c r="S3" s="2995"/>
      <c r="T3" s="2995"/>
      <c r="U3" s="2477"/>
      <c r="V3" s="419"/>
      <c r="W3" s="419"/>
      <c r="X3" s="419"/>
      <c r="Y3" s="419"/>
      <c r="Z3" s="419"/>
      <c r="AA3" s="419"/>
      <c r="AB3" s="419"/>
      <c r="AC3" s="420"/>
      <c r="AD3" s="420"/>
      <c r="AE3" s="420"/>
      <c r="AF3" s="420"/>
      <c r="AG3" s="420"/>
      <c r="AH3" s="420"/>
      <c r="AI3" s="420"/>
      <c r="AJ3" s="420"/>
      <c r="AK3" s="420"/>
      <c r="AL3" s="420"/>
      <c r="AM3" s="1545"/>
      <c r="AN3" s="2364">
        <v>1</v>
      </c>
      <c r="AO3" s="3639">
        <f>AN3*6/5</f>
        <v>1.2</v>
      </c>
      <c r="AP3" s="3640"/>
      <c r="AQ3" s="3805">
        <f>3.7854*AO3/8</f>
        <v>0.56781000000000004</v>
      </c>
      <c r="AR3" s="3806"/>
      <c r="AS3" s="2412"/>
      <c r="AT3" s="2365">
        <v>1</v>
      </c>
      <c r="AU3" s="3639">
        <f t="shared" ref="AU3:AU8" si="0">AT3*(5/6)</f>
        <v>0.83333333333333337</v>
      </c>
      <c r="AV3" s="3640"/>
      <c r="AW3" s="2366">
        <f>3.7854*AT3/8</f>
        <v>0.47317500000000001</v>
      </c>
      <c r="AX3" s="1932"/>
    </row>
    <row r="4" spans="1:50" ht="16.5" customHeight="1">
      <c r="A4" s="2486"/>
      <c r="B4" s="3647" t="s">
        <v>194</v>
      </c>
      <c r="C4" s="3647"/>
      <c r="D4" s="1939"/>
      <c r="E4" s="3788" t="s">
        <v>1069</v>
      </c>
      <c r="F4" s="3788"/>
      <c r="G4" s="3788"/>
      <c r="H4" s="3788"/>
      <c r="I4" s="3788"/>
      <c r="J4" s="3788"/>
      <c r="K4" s="1937"/>
      <c r="L4" s="383"/>
      <c r="M4" s="383"/>
      <c r="N4" s="2486"/>
      <c r="O4" s="2486"/>
      <c r="P4" s="2486"/>
      <c r="Q4" s="2486"/>
      <c r="R4" s="3792" t="s">
        <v>977</v>
      </c>
      <c r="S4" s="3792"/>
      <c r="T4" s="3792"/>
      <c r="U4" s="2542"/>
      <c r="V4" s="419"/>
      <c r="W4" s="419"/>
      <c r="X4" s="419"/>
      <c r="Y4" s="419"/>
      <c r="Z4" s="419"/>
      <c r="AA4" s="419"/>
      <c r="AB4" s="419"/>
      <c r="AC4" s="420"/>
      <c r="AD4" s="420"/>
      <c r="AE4" s="420"/>
      <c r="AF4" s="420"/>
      <c r="AG4" s="420"/>
      <c r="AH4" s="420"/>
      <c r="AI4" s="420"/>
      <c r="AJ4" s="420"/>
      <c r="AK4" s="420"/>
      <c r="AL4" s="420"/>
      <c r="AM4" s="1545"/>
      <c r="AN4" s="2364">
        <v>2</v>
      </c>
      <c r="AO4" s="3639">
        <f t="shared" ref="AO4:AO8" si="1">AN4*6/5</f>
        <v>2.4</v>
      </c>
      <c r="AP4" s="3640"/>
      <c r="AQ4" s="3805">
        <f t="shared" ref="AQ4:AQ8" si="2">3.7854*AO4/8</f>
        <v>1.1356200000000001</v>
      </c>
      <c r="AR4" s="3806"/>
      <c r="AS4" s="2412"/>
      <c r="AT4" s="2365">
        <v>2</v>
      </c>
      <c r="AU4" s="3639">
        <f t="shared" si="0"/>
        <v>1.6666666666666667</v>
      </c>
      <c r="AV4" s="3640"/>
      <c r="AW4" s="2366">
        <f t="shared" ref="AW4:AW8" si="3">3.7854*AT4/8</f>
        <v>0.94635000000000002</v>
      </c>
      <c r="AX4" s="1932"/>
    </row>
    <row r="5" spans="1:50" ht="16.5" customHeight="1">
      <c r="A5" s="2486"/>
      <c r="B5" s="413"/>
      <c r="C5" s="421" t="s">
        <v>1070</v>
      </c>
      <c r="D5" s="422">
        <v>23</v>
      </c>
      <c r="E5" s="3648" t="str">
        <f>"litres  = "&amp;FIXED(D5*1.76)&amp;" UK / "&amp;FIXED(D5*1.76*6/5)&amp;" US pt."</f>
        <v>litres  = 40.48 UK / 48.58 US pt.</v>
      </c>
      <c r="F5" s="3648"/>
      <c r="G5" s="3648"/>
      <c r="H5" s="3648"/>
      <c r="I5" s="1545"/>
      <c r="J5" s="1545"/>
      <c r="K5" s="1545"/>
      <c r="L5" s="1545"/>
      <c r="M5" s="1545"/>
      <c r="N5" s="413"/>
      <c r="O5" s="1563"/>
      <c r="P5" s="3793" t="s">
        <v>1479</v>
      </c>
      <c r="Q5" s="3793"/>
      <c r="R5" s="3793"/>
      <c r="S5" s="3793"/>
      <c r="T5" s="3793"/>
      <c r="U5" s="2543"/>
      <c r="V5" s="419"/>
      <c r="W5" s="419"/>
      <c r="X5" s="419"/>
      <c r="Y5" s="419"/>
      <c r="Z5" s="419"/>
      <c r="AA5" s="419"/>
      <c r="AB5" s="419"/>
      <c r="AC5" s="420"/>
      <c r="AD5" s="420"/>
      <c r="AE5" s="420"/>
      <c r="AF5" s="420"/>
      <c r="AG5" s="420"/>
      <c r="AH5" s="420"/>
      <c r="AI5" s="420"/>
      <c r="AJ5" s="420"/>
      <c r="AK5" s="420"/>
      <c r="AL5" s="420"/>
      <c r="AM5" s="1545"/>
      <c r="AN5" s="2364">
        <v>3</v>
      </c>
      <c r="AO5" s="3639">
        <f t="shared" si="1"/>
        <v>3.6</v>
      </c>
      <c r="AP5" s="3640"/>
      <c r="AQ5" s="3805">
        <f t="shared" si="2"/>
        <v>1.70343</v>
      </c>
      <c r="AR5" s="3806"/>
      <c r="AS5" s="2412"/>
      <c r="AT5" s="2365">
        <v>3</v>
      </c>
      <c r="AU5" s="3639">
        <f t="shared" si="0"/>
        <v>2.5</v>
      </c>
      <c r="AV5" s="3640"/>
      <c r="AW5" s="2366">
        <f t="shared" si="3"/>
        <v>1.4195250000000001</v>
      </c>
      <c r="AX5" s="1932"/>
    </row>
    <row r="6" spans="1:50" ht="16.5" customHeight="1">
      <c r="A6" s="2486"/>
      <c r="B6" s="1941"/>
      <c r="C6" s="1545"/>
      <c r="D6" s="1545"/>
      <c r="E6" s="1545"/>
      <c r="F6" s="1545"/>
      <c r="G6" s="1545"/>
      <c r="H6" s="1545"/>
      <c r="I6" s="1545"/>
      <c r="J6" s="2172" t="s">
        <v>1071</v>
      </c>
      <c r="K6" s="423">
        <v>20</v>
      </c>
      <c r="L6" s="3646" t="s">
        <v>1499</v>
      </c>
      <c r="M6" s="3646"/>
      <c r="N6" s="424"/>
      <c r="O6" s="1564"/>
      <c r="P6" s="3793"/>
      <c r="Q6" s="3793"/>
      <c r="R6" s="3793"/>
      <c r="S6" s="3793"/>
      <c r="T6" s="3793"/>
      <c r="U6" s="2543"/>
      <c r="V6" s="419"/>
      <c r="W6" s="419"/>
      <c r="X6" s="419"/>
      <c r="Y6" s="419"/>
      <c r="Z6" s="419"/>
      <c r="AA6" s="419"/>
      <c r="AB6" s="419"/>
      <c r="AC6" s="420"/>
      <c r="AD6" s="420"/>
      <c r="AE6" s="420"/>
      <c r="AF6" s="420"/>
      <c r="AG6" s="420"/>
      <c r="AH6" s="420"/>
      <c r="AI6" s="420"/>
      <c r="AJ6" s="420"/>
      <c r="AK6" s="420"/>
      <c r="AL6" s="420"/>
      <c r="AM6" s="1545"/>
      <c r="AN6" s="2364">
        <v>4</v>
      </c>
      <c r="AO6" s="3639">
        <f t="shared" si="1"/>
        <v>4.8</v>
      </c>
      <c r="AP6" s="3640"/>
      <c r="AQ6" s="3805">
        <f t="shared" si="2"/>
        <v>2.2712400000000001</v>
      </c>
      <c r="AR6" s="3806"/>
      <c r="AS6" s="2412"/>
      <c r="AT6" s="2365">
        <v>4</v>
      </c>
      <c r="AU6" s="3639">
        <f t="shared" si="0"/>
        <v>3.3333333333333335</v>
      </c>
      <c r="AV6" s="3640"/>
      <c r="AW6" s="2366">
        <f t="shared" si="3"/>
        <v>1.8927</v>
      </c>
      <c r="AX6" s="1932"/>
    </row>
    <row r="7" spans="1:50" ht="16.5" customHeight="1">
      <c r="A7" s="425"/>
      <c r="B7" s="425"/>
      <c r="C7" s="425"/>
      <c r="D7" s="425"/>
      <c r="E7" s="425"/>
      <c r="F7" s="425"/>
      <c r="G7" s="425"/>
      <c r="H7" s="425"/>
      <c r="I7" s="425"/>
      <c r="J7" s="425"/>
      <c r="K7" s="425"/>
      <c r="L7" s="425"/>
      <c r="M7" s="424"/>
      <c r="N7" s="424"/>
      <c r="O7" s="2486"/>
      <c r="P7" s="426"/>
      <c r="Q7" s="426"/>
      <c r="R7" s="426"/>
      <c r="S7" s="426"/>
      <c r="T7" s="426"/>
      <c r="U7" s="426"/>
      <c r="V7" s="419"/>
      <c r="W7" s="419"/>
      <c r="X7" s="419"/>
      <c r="Y7" s="419"/>
      <c r="Z7" s="419"/>
      <c r="AA7" s="419"/>
      <c r="AB7" s="419"/>
      <c r="AC7" s="420"/>
      <c r="AD7" s="420"/>
      <c r="AE7" s="420"/>
      <c r="AF7" s="420"/>
      <c r="AG7" s="420"/>
      <c r="AH7" s="420"/>
      <c r="AI7" s="420"/>
      <c r="AJ7" s="420"/>
      <c r="AK7" s="420"/>
      <c r="AL7" s="420"/>
      <c r="AM7" s="1545"/>
      <c r="AN7" s="2364">
        <v>5</v>
      </c>
      <c r="AO7" s="3639">
        <f t="shared" si="1"/>
        <v>6</v>
      </c>
      <c r="AP7" s="3640"/>
      <c r="AQ7" s="3805">
        <f t="shared" si="2"/>
        <v>2.8390500000000003</v>
      </c>
      <c r="AR7" s="3806"/>
      <c r="AS7" s="2412"/>
      <c r="AT7" s="2365">
        <v>5</v>
      </c>
      <c r="AU7" s="3639">
        <f t="shared" si="0"/>
        <v>4.166666666666667</v>
      </c>
      <c r="AV7" s="3640"/>
      <c r="AW7" s="2366">
        <f t="shared" si="3"/>
        <v>2.365875</v>
      </c>
      <c r="AX7" s="1932"/>
    </row>
    <row r="8" spans="1:50" ht="16.5" customHeight="1">
      <c r="A8" s="2486"/>
      <c r="B8" s="3781" t="s">
        <v>166</v>
      </c>
      <c r="C8" s="3781"/>
      <c r="D8" s="3782"/>
      <c r="E8" s="3782"/>
      <c r="F8" s="3781"/>
      <c r="G8" s="3783" t="s">
        <v>1072</v>
      </c>
      <c r="H8" s="3783"/>
      <c r="I8" s="3783"/>
      <c r="J8" s="3784"/>
      <c r="K8" s="2173" t="s">
        <v>1073</v>
      </c>
      <c r="L8" s="3785" t="s">
        <v>1074</v>
      </c>
      <c r="M8" s="3786"/>
      <c r="N8" s="3786"/>
      <c r="O8" s="3786"/>
      <c r="P8" s="3786"/>
      <c r="Q8" s="3786"/>
      <c r="R8" s="3786"/>
      <c r="S8" s="3786"/>
      <c r="T8" s="3786"/>
      <c r="U8" s="1532"/>
      <c r="V8" s="410"/>
      <c r="W8" s="410"/>
      <c r="X8" s="410"/>
      <c r="Y8" s="427"/>
      <c r="Z8" s="427"/>
      <c r="AA8" s="427"/>
      <c r="AB8" s="427"/>
      <c r="AC8" s="428"/>
      <c r="AD8" s="428"/>
      <c r="AE8" s="428"/>
      <c r="AF8" s="428"/>
      <c r="AG8" s="428"/>
      <c r="AH8" s="428"/>
      <c r="AI8" s="428"/>
      <c r="AJ8" s="428"/>
      <c r="AK8" s="428"/>
      <c r="AL8" s="428"/>
      <c r="AM8" s="1545"/>
      <c r="AN8" s="2364">
        <v>25</v>
      </c>
      <c r="AO8" s="3639">
        <f t="shared" si="1"/>
        <v>30</v>
      </c>
      <c r="AP8" s="3640"/>
      <c r="AQ8" s="3805">
        <f t="shared" si="2"/>
        <v>14.19525</v>
      </c>
      <c r="AR8" s="3806"/>
      <c r="AS8" s="2412"/>
      <c r="AT8" s="2364">
        <v>25</v>
      </c>
      <c r="AU8" s="3639">
        <f t="shared" si="0"/>
        <v>20.833333333333336</v>
      </c>
      <c r="AV8" s="3640"/>
      <c r="AW8" s="2366">
        <f t="shared" si="3"/>
        <v>11.829375000000001</v>
      </c>
      <c r="AX8" s="1932"/>
    </row>
    <row r="9" spans="1:50" ht="16.5" customHeight="1">
      <c r="A9" s="2486"/>
      <c r="B9" s="3787" t="s">
        <v>1075</v>
      </c>
      <c r="C9" s="3787"/>
      <c r="D9" s="1708"/>
      <c r="E9" s="1708"/>
      <c r="F9" s="429">
        <f>1000+Z52</f>
        <v>1038.5905130434783</v>
      </c>
      <c r="G9" s="3789" t="s">
        <v>1076</v>
      </c>
      <c r="H9" s="3789"/>
      <c r="I9" s="3790"/>
      <c r="J9" s="430">
        <f>1000+Z51</f>
        <v>1041.7405130434784</v>
      </c>
      <c r="K9" s="431">
        <v>1048</v>
      </c>
      <c r="L9" s="3780" t="s">
        <v>1077</v>
      </c>
      <c r="M9" s="3780"/>
      <c r="N9" s="3780"/>
      <c r="O9" s="3780"/>
      <c r="P9" s="3780"/>
      <c r="Q9" s="3780"/>
      <c r="R9" s="3780"/>
      <c r="S9" s="3780"/>
      <c r="T9" s="3780"/>
      <c r="U9" s="1533"/>
      <c r="V9" s="304"/>
      <c r="W9" s="304"/>
      <c r="X9" s="304"/>
      <c r="Y9" s="427"/>
      <c r="Z9" s="427"/>
      <c r="AA9" s="427"/>
      <c r="AB9" s="427"/>
      <c r="AC9" s="428"/>
      <c r="AD9" s="428"/>
      <c r="AE9" s="428"/>
      <c r="AF9" s="428"/>
      <c r="AG9" s="428"/>
      <c r="AH9" s="428"/>
      <c r="AI9" s="428"/>
      <c r="AJ9" s="428"/>
      <c r="AK9" s="428"/>
      <c r="AL9" s="428"/>
      <c r="AM9" s="2338"/>
      <c r="AN9" s="2350"/>
      <c r="AO9" s="2350"/>
      <c r="AP9" s="2350"/>
      <c r="AQ9" s="2350"/>
      <c r="AR9" s="2350"/>
      <c r="AS9" s="2412"/>
      <c r="AT9" s="2361"/>
      <c r="AU9" s="2361"/>
      <c r="AV9" s="2362"/>
      <c r="AW9" s="2331"/>
      <c r="AX9" s="1932"/>
    </row>
    <row r="10" spans="1:50" ht="16.5" customHeight="1">
      <c r="A10" s="2486"/>
      <c r="B10" s="3787" t="s">
        <v>1078</v>
      </c>
      <c r="C10" s="3787"/>
      <c r="D10" s="1708"/>
      <c r="E10" s="1708"/>
      <c r="F10" s="432">
        <f>1000+Z53</f>
        <v>1007.5194764560231</v>
      </c>
      <c r="G10" s="3772" t="s">
        <v>1079</v>
      </c>
      <c r="H10" s="3772"/>
      <c r="I10" s="3773"/>
      <c r="J10" s="433">
        <f>1000+Z54</f>
        <v>1009.3938006955268</v>
      </c>
      <c r="K10" s="434">
        <v>1010</v>
      </c>
      <c r="L10" s="3774"/>
      <c r="M10" s="3775"/>
      <c r="N10" s="3775"/>
      <c r="O10" s="3776" t="s">
        <v>951</v>
      </c>
      <c r="P10" s="3776"/>
      <c r="Q10" s="3777" t="s">
        <v>1080</v>
      </c>
      <c r="R10" s="3777"/>
      <c r="S10" s="3778" t="s">
        <v>1497</v>
      </c>
      <c r="T10" s="3779"/>
      <c r="U10" s="1533"/>
      <c r="V10" s="435" t="s">
        <v>638</v>
      </c>
      <c r="W10" s="435" t="s">
        <v>639</v>
      </c>
      <c r="X10" s="435" t="s">
        <v>640</v>
      </c>
      <c r="Y10" s="427"/>
      <c r="Z10" s="427"/>
      <c r="AA10" s="427"/>
      <c r="AB10" s="427"/>
      <c r="AC10" s="428"/>
      <c r="AD10" s="428"/>
      <c r="AE10" s="428"/>
      <c r="AF10" s="428"/>
      <c r="AG10" s="428"/>
      <c r="AH10" s="428"/>
      <c r="AI10" s="428"/>
      <c r="AJ10" s="428"/>
      <c r="AK10" s="428"/>
      <c r="AL10" s="428"/>
      <c r="AM10" s="1545"/>
      <c r="AN10" s="2529" t="s">
        <v>1654</v>
      </c>
      <c r="AO10" s="3201" t="s">
        <v>1652</v>
      </c>
      <c r="AP10" s="3191"/>
      <c r="AQ10" s="3638" t="s">
        <v>1653</v>
      </c>
      <c r="AR10" s="3192"/>
      <c r="AS10" s="2412"/>
      <c r="AT10" s="2361"/>
      <c r="AU10" s="2361"/>
      <c r="AV10" s="2362"/>
      <c r="AW10" s="2331"/>
      <c r="AX10" s="1932"/>
    </row>
    <row r="11" spans="1:50" ht="16.5" customHeight="1">
      <c r="A11" s="2486"/>
      <c r="B11" s="3787" t="s">
        <v>1081</v>
      </c>
      <c r="C11" s="3787"/>
      <c r="D11" s="1708"/>
      <c r="E11" s="1708"/>
      <c r="F11" s="436">
        <f>(F9-F10)/(7.75-(3*(F9-1000)/800))</f>
        <v>4.0854529756450955</v>
      </c>
      <c r="G11" s="3800" t="s">
        <v>40</v>
      </c>
      <c r="H11" s="3800"/>
      <c r="I11" s="3801"/>
      <c r="J11" s="437">
        <f>(J9-J10)/(7.75-(3*(J9-1000)/800))</f>
        <v>4.2598047064677758</v>
      </c>
      <c r="K11" s="434">
        <v>5</v>
      </c>
      <c r="L11" s="3802" t="s">
        <v>1082</v>
      </c>
      <c r="M11" s="3802"/>
      <c r="N11" s="3802"/>
      <c r="O11" s="562">
        <v>500</v>
      </c>
      <c r="P11" s="563" t="s">
        <v>149</v>
      </c>
      <c r="Q11" s="564">
        <v>1</v>
      </c>
      <c r="R11" s="563" t="s">
        <v>14</v>
      </c>
      <c r="S11" s="564">
        <v>12</v>
      </c>
      <c r="T11" s="438" t="s">
        <v>15</v>
      </c>
      <c r="U11" s="563"/>
      <c r="V11" s="1703">
        <v>789.4</v>
      </c>
      <c r="W11" s="1703">
        <v>7.01</v>
      </c>
      <c r="X11" s="1703">
        <v>3.85</v>
      </c>
      <c r="Y11" s="427"/>
      <c r="Z11" s="427"/>
      <c r="AA11" s="427"/>
      <c r="AB11" s="427"/>
      <c r="AC11" s="428"/>
      <c r="AD11" s="428"/>
      <c r="AE11" s="428"/>
      <c r="AF11" s="428"/>
      <c r="AG11" s="428"/>
      <c r="AH11" s="428"/>
      <c r="AI11" s="428"/>
      <c r="AJ11" s="428"/>
      <c r="AK11" s="428"/>
      <c r="AL11" s="428"/>
      <c r="AM11" s="1545"/>
      <c r="AN11" s="2365">
        <v>1</v>
      </c>
      <c r="AO11" s="3639">
        <f t="shared" ref="AO11:AO16" si="4">AQ11*(5/6)</f>
        <v>1.7611524981948188</v>
      </c>
      <c r="AP11" s="3640"/>
      <c r="AQ11" s="3641">
        <f>8*AN11/3.7854</f>
        <v>2.1133829978337824</v>
      </c>
      <c r="AR11" s="3642"/>
      <c r="AS11" s="2412"/>
      <c r="AT11" s="2361"/>
      <c r="AU11" s="2361"/>
      <c r="AV11" s="2362"/>
      <c r="AW11" s="2331"/>
      <c r="AX11" s="1932"/>
    </row>
    <row r="12" spans="1:50" ht="16.5" customHeight="1">
      <c r="A12" s="2486"/>
      <c r="B12" s="3803" t="s">
        <v>1747</v>
      </c>
      <c r="C12" s="3803"/>
      <c r="D12" s="1709"/>
      <c r="E12" s="1709"/>
      <c r="F12" s="1342">
        <f>VLOOKUP($K$6,$V$49:$W$92,2)</f>
        <v>0.877</v>
      </c>
      <c r="G12" s="3800" t="s">
        <v>42</v>
      </c>
      <c r="H12" s="3800"/>
      <c r="I12" s="3801"/>
      <c r="J12" s="439">
        <f>D48</f>
        <v>1.7022631578947367</v>
      </c>
      <c r="K12" s="434">
        <v>1.7</v>
      </c>
      <c r="L12" s="3804" t="s">
        <v>16</v>
      </c>
      <c r="M12" s="3804"/>
      <c r="N12" s="3804"/>
      <c r="O12" s="1192">
        <f>W12*O11</f>
        <v>117.86227872676245</v>
      </c>
      <c r="P12" s="1193"/>
      <c r="Q12" s="1198">
        <f>568*W12*Q11</f>
        <v>133.89154863360216</v>
      </c>
      <c r="R12" s="1199"/>
      <c r="S12" s="1203">
        <f>29.57*W12*S11</f>
        <v>83.644501966808775</v>
      </c>
      <c r="T12" s="1204"/>
      <c r="U12" s="1534"/>
      <c r="V12" s="304"/>
      <c r="W12" s="440">
        <f>0.01*V13*(J9-J10)/(7.75-(3*(J9-1000)/800))</f>
        <v>0.23572455745352491</v>
      </c>
      <c r="X12" s="440" t="s">
        <v>21</v>
      </c>
      <c r="Y12" s="427"/>
      <c r="Z12" s="427"/>
      <c r="AA12" s="427"/>
      <c r="AB12" s="427"/>
      <c r="AC12" s="428"/>
      <c r="AD12" s="428"/>
      <c r="AE12" s="428"/>
      <c r="AF12" s="428"/>
      <c r="AG12" s="428"/>
      <c r="AH12" s="428"/>
      <c r="AI12" s="428"/>
      <c r="AJ12" s="428"/>
      <c r="AK12" s="428"/>
      <c r="AL12" s="428"/>
      <c r="AM12" s="1545"/>
      <c r="AN12" s="2365">
        <v>2</v>
      </c>
      <c r="AO12" s="3639">
        <f t="shared" si="4"/>
        <v>3.5223049963896376</v>
      </c>
      <c r="AP12" s="3640"/>
      <c r="AQ12" s="3641">
        <f t="shared" ref="AQ12:AQ15" si="5">8*AN12/3.7854</f>
        <v>4.2267659956675647</v>
      </c>
      <c r="AR12" s="3642"/>
      <c r="AS12" s="2412"/>
      <c r="AT12" s="2361"/>
      <c r="AU12" s="2361"/>
      <c r="AV12" s="2362"/>
      <c r="AW12" s="2331"/>
      <c r="AX12" s="1932"/>
    </row>
    <row r="13" spans="1:50" ht="16.5" customHeight="1">
      <c r="A13" s="2486"/>
      <c r="B13" s="3794" t="s">
        <v>1743</v>
      </c>
      <c r="C13" s="3794"/>
      <c r="D13" s="1710"/>
      <c r="E13" s="1710"/>
      <c r="F13" s="2063" t="str">
        <f>FIXED(((F37+F38+F39+F40+F41)*0.0353),2)&amp;" oz"</f>
        <v>16.01 oz</v>
      </c>
      <c r="G13" s="3795" t="s">
        <v>43</v>
      </c>
      <c r="H13" s="3796"/>
      <c r="I13" s="3796"/>
      <c r="J13" s="2090" t="str">
        <f>FIXED((((F37+F38+F39+F40+F41)+D43*D5)*0.0353),2)&amp;" oz"</f>
        <v>18.57 oz</v>
      </c>
      <c r="K13" s="1600">
        <f>K9-1000</f>
        <v>48</v>
      </c>
      <c r="L13" s="3797" t="s">
        <v>1083</v>
      </c>
      <c r="M13" s="3797"/>
      <c r="N13" s="3797"/>
      <c r="O13" s="1192">
        <f>W13*O11</f>
        <v>74.440212645507998</v>
      </c>
      <c r="P13" s="1193"/>
      <c r="Q13" s="1198">
        <f>568*W13*Q11</f>
        <v>84.564081565297087</v>
      </c>
      <c r="R13" s="1200"/>
      <c r="S13" s="1205">
        <f>29.57*W13*S11</f>
        <v>52.828730110264118</v>
      </c>
      <c r="T13" s="1204"/>
      <c r="U13" s="1534"/>
      <c r="V13" s="1703">
        <f>W11*V11/1000</f>
        <v>5.5336939999999997</v>
      </c>
      <c r="W13" s="440">
        <f>0.00000001*J10*((1000*J9)/V13+(819.2*J10)-1000400)</f>
        <v>0.148880425291016</v>
      </c>
      <c r="X13" s="440" t="s">
        <v>21</v>
      </c>
      <c r="Y13" s="427"/>
      <c r="Z13" s="427"/>
      <c r="AA13" s="427"/>
      <c r="AB13" s="427"/>
      <c r="AC13" s="428"/>
      <c r="AD13" s="428"/>
      <c r="AE13" s="428"/>
      <c r="AF13" s="428"/>
      <c r="AG13" s="428"/>
      <c r="AH13" s="428"/>
      <c r="AI13" s="428"/>
      <c r="AJ13" s="428"/>
      <c r="AK13" s="428"/>
      <c r="AL13" s="428"/>
      <c r="AM13" s="1545"/>
      <c r="AN13" s="2365">
        <v>3</v>
      </c>
      <c r="AO13" s="3639">
        <f t="shared" si="4"/>
        <v>5.2834574945844563</v>
      </c>
      <c r="AP13" s="3640"/>
      <c r="AQ13" s="3641">
        <f t="shared" si="5"/>
        <v>6.3401489935013471</v>
      </c>
      <c r="AR13" s="3642"/>
      <c r="AS13" s="2412"/>
      <c r="AT13" s="2361"/>
      <c r="AU13" s="2361"/>
      <c r="AV13" s="2362"/>
      <c r="AW13" s="2331"/>
      <c r="AX13" s="1932"/>
    </row>
    <row r="14" spans="1:50" ht="16.5" customHeight="1">
      <c r="A14" s="2486"/>
      <c r="B14" s="3798" t="s">
        <v>1617</v>
      </c>
      <c r="C14" s="3798"/>
      <c r="D14" s="2264"/>
      <c r="E14" s="2264"/>
      <c r="F14" s="2265" t="str">
        <f>M65</f>
        <v>30.0 EBU</v>
      </c>
      <c r="G14" s="3799" t="str">
        <f>"Actual BU / GU Ratio = "&amp;FIXED(Z14)&amp;" ("&amp;IF(Z14&gt;0.81,"Too Hoppy?",IF(Z14&gt;0.65,"Very Hoppy",IF(Z14&gt;0.55,"Slightly Hoppy",IF(Z14&gt;0.45,"Balanced",IF(Z14&gt;0.35,"Slightly Malty",IF(Z14&gt;0.25,"Very Malty",IF((Z14+0.001)&gt;0,"Too Malty?")))))))&amp;")"</f>
        <v>Actual BU / GU Ratio = 0.72 (Very Hoppy)</v>
      </c>
      <c r="H14" s="3799"/>
      <c r="I14" s="3799"/>
      <c r="J14" s="3799"/>
      <c r="K14" s="1940">
        <v>30</v>
      </c>
      <c r="L14" s="3797" t="s">
        <v>18</v>
      </c>
      <c r="M14" s="3797"/>
      <c r="N14" s="3797"/>
      <c r="O14" s="1194">
        <f>O13/X11</f>
        <v>19.335120167664414</v>
      </c>
      <c r="P14" s="1195" t="s">
        <v>141</v>
      </c>
      <c r="Q14" s="1201">
        <f>Q13/X11</f>
        <v>21.964696510466776</v>
      </c>
      <c r="R14" s="1202" t="s">
        <v>141</v>
      </c>
      <c r="S14" s="1206">
        <f>S13/X11</f>
        <v>13.721748080588082</v>
      </c>
      <c r="T14" s="1207" t="s">
        <v>141</v>
      </c>
      <c r="U14" s="1535"/>
      <c r="V14" s="304"/>
      <c r="W14" s="440"/>
      <c r="X14" s="440"/>
      <c r="Y14" s="441"/>
      <c r="Z14" s="304">
        <f>((SUM(L63:N63)+L56*P104*S104/(L104*D5))/Z51)</f>
        <v>0.71816282048288249</v>
      </c>
      <c r="AA14" s="427"/>
      <c r="AB14" s="441"/>
      <c r="AC14" s="428"/>
      <c r="AD14" s="428"/>
      <c r="AE14" s="428"/>
      <c r="AF14" s="428"/>
      <c r="AG14" s="428"/>
      <c r="AH14" s="428"/>
      <c r="AI14" s="428"/>
      <c r="AJ14" s="428"/>
      <c r="AK14" s="428"/>
      <c r="AL14" s="428"/>
      <c r="AM14" s="1545"/>
      <c r="AN14" s="2365">
        <v>4</v>
      </c>
      <c r="AO14" s="3639">
        <f t="shared" si="4"/>
        <v>7.0446099927792751</v>
      </c>
      <c r="AP14" s="3640"/>
      <c r="AQ14" s="3641">
        <f t="shared" si="5"/>
        <v>8.4535319913351294</v>
      </c>
      <c r="AR14" s="3642"/>
      <c r="AS14" s="2412"/>
      <c r="AT14" s="2361"/>
      <c r="AU14" s="2361"/>
      <c r="AV14" s="2362"/>
      <c r="AW14" s="2331"/>
      <c r="AX14" s="1932"/>
    </row>
    <row r="15" spans="1:50" ht="16.5" customHeight="1">
      <c r="A15" s="2486"/>
      <c r="B15" s="3664" t="s">
        <v>1565</v>
      </c>
      <c r="C15" s="3664"/>
      <c r="D15" s="1933"/>
      <c r="E15" s="1933"/>
      <c r="F15" s="1010" t="str">
        <f>P65</f>
        <v>29.9 EBU</v>
      </c>
      <c r="G15" s="3665" t="str">
        <f>"Actual BU / GU Ratio = "&amp;FIXED(Z15)&amp;" ("&amp;IF(Z15&gt;0.81,"Too Hoppy?",IF(Z15&gt;0.65,"Very Hoppy",IF(Z15&gt;0.55,"Slightly Hoppy",IF(Z15&gt;0.45,"Balanced",IF(Z15&gt;0.35,"Slightly Malty",IF(Z15&gt;0.25,"Very Malty",IF((Z15+0.001)&gt;0,"Too Malty?")))))))&amp;")"</f>
        <v>Actual BU / GU Ratio = 0.72 (Very Hoppy)</v>
      </c>
      <c r="H15" s="3665"/>
      <c r="I15" s="3665"/>
      <c r="J15" s="3665"/>
      <c r="K15" s="3666" t="str">
        <f>IF(K14/(K13+0.001)&gt;0.81,"Too Hoppy?",IF(K14/K13&gt;0.65,"Very Hoppy",IF(K14/K13&gt;0.55,"Slightly Hoppy",IF(K14/K13&gt;0.45,"Balanced",IF(K14/K13&gt;0.35,"Slightly Malty",IF(K14/K13&gt;0.25,"Very Malty",IF((K14+0.001)/K13&gt;0,"Too Malty?")))))))</f>
        <v>Slightly Hoppy</v>
      </c>
      <c r="L15" s="3667" t="s">
        <v>20</v>
      </c>
      <c r="M15" s="3667"/>
      <c r="N15" s="3667"/>
      <c r="O15" s="1215">
        <f>SUM(O12:O13)</f>
        <v>192.30249137227045</v>
      </c>
      <c r="P15" s="1216"/>
      <c r="Q15" s="2059">
        <f>SUM(Q12:Q13)</f>
        <v>218.45563019889926</v>
      </c>
      <c r="R15" s="2174"/>
      <c r="S15" s="2060">
        <f>SUM(S12:S13)</f>
        <v>136.47323207707291</v>
      </c>
      <c r="T15" s="1217"/>
      <c r="U15" s="1203"/>
      <c r="V15" s="441"/>
      <c r="W15" s="441"/>
      <c r="X15" s="441"/>
      <c r="Y15" s="441"/>
      <c r="Z15" s="304">
        <f>((SUM(O63:Q63)+O56*P104*S104/(L104*D5))/Z51)</f>
        <v>0.71518475738321841</v>
      </c>
      <c r="AA15" s="427"/>
      <c r="AB15" s="441"/>
      <c r="AC15" s="428"/>
      <c r="AD15" s="428"/>
      <c r="AE15" s="428"/>
      <c r="AF15" s="428"/>
      <c r="AG15" s="428"/>
      <c r="AH15" s="428"/>
      <c r="AI15" s="428"/>
      <c r="AJ15" s="428"/>
      <c r="AK15" s="428"/>
      <c r="AL15" s="428"/>
      <c r="AM15" s="1545"/>
      <c r="AN15" s="2365">
        <v>5</v>
      </c>
      <c r="AO15" s="3639">
        <f t="shared" si="4"/>
        <v>8.8057624909740948</v>
      </c>
      <c r="AP15" s="3640"/>
      <c r="AQ15" s="3641">
        <f t="shared" si="5"/>
        <v>10.566914989168913</v>
      </c>
      <c r="AR15" s="3642"/>
      <c r="AS15" s="2412"/>
      <c r="AT15" s="2361"/>
      <c r="AU15" s="2361"/>
      <c r="AV15" s="2362"/>
      <c r="AW15" s="2331"/>
      <c r="AX15" s="1932"/>
    </row>
    <row r="16" spans="1:50" ht="16.5" customHeight="1">
      <c r="A16" s="2486"/>
      <c r="B16" s="3668" t="s">
        <v>1616</v>
      </c>
      <c r="C16" s="3668"/>
      <c r="D16" s="2266"/>
      <c r="E16" s="2266"/>
      <c r="F16" s="2267" t="str">
        <f>S65</f>
        <v>30.1 EBU</v>
      </c>
      <c r="G16" s="3669" t="str">
        <f>"Actual BU / GU Ratio = "&amp;FIXED(Z16)&amp;" ("&amp;IF(Z16&gt;0.81,"Too Hoppy?",IF(Z16&gt;0.65,"Very Hoppy",IF(Z16&gt;0.55,"Slightly Hoppy",IF(Z16&gt;0.45,"Balanced",IF(Z16&gt;0.35,"Slightly Malty",IF(Z16&gt;0.25,"Very Malty",IF((Z16+0.001)&gt;0,"Too Malty?")))))))&amp;")"</f>
        <v>Actual BU / GU Ratio = 0.72 (Very Hoppy)</v>
      </c>
      <c r="H16" s="3669"/>
      <c r="I16" s="3669"/>
      <c r="J16" s="3669"/>
      <c r="K16" s="3380"/>
      <c r="L16" s="3791" t="s">
        <v>428</v>
      </c>
      <c r="M16" s="3791"/>
      <c r="N16" s="3791"/>
      <c r="O16" s="1196">
        <f>J11*O11/1000</f>
        <v>2.1299023532338879</v>
      </c>
      <c r="P16" s="1197"/>
      <c r="Q16" s="2061">
        <f>J11*Q11*568.26/1000</f>
        <v>2.4206766224973779</v>
      </c>
      <c r="R16" s="2496"/>
      <c r="S16" s="2062">
        <f>J11*S11*29.574/1000</f>
        <v>1.5117535726689362</v>
      </c>
      <c r="T16" s="1208"/>
      <c r="U16" s="1536"/>
      <c r="V16" s="442"/>
      <c r="W16" s="442"/>
      <c r="X16" s="442"/>
      <c r="Y16" s="442"/>
      <c r="Z16" s="401">
        <f>((SUM(R63:T63)+(R56*P104*S104/(L104*D5)))/Z51)</f>
        <v>0.72061895415836441</v>
      </c>
      <c r="AA16" s="443"/>
      <c r="AB16" s="443"/>
      <c r="AC16" s="444"/>
      <c r="AD16" s="444"/>
      <c r="AE16" s="444"/>
      <c r="AF16" s="444"/>
      <c r="AG16" s="444"/>
      <c r="AH16" s="444"/>
      <c r="AI16" s="444"/>
      <c r="AJ16" s="444"/>
      <c r="AK16" s="444"/>
      <c r="AL16" s="444"/>
      <c r="AM16" s="1545"/>
      <c r="AN16" s="2365">
        <v>10</v>
      </c>
      <c r="AO16" s="3643">
        <f t="shared" si="4"/>
        <v>17.61152498194819</v>
      </c>
      <c r="AP16" s="3644"/>
      <c r="AQ16" s="3641">
        <f t="shared" ref="AQ16" si="6">8*AN16/3.7854</f>
        <v>21.133829978337825</v>
      </c>
      <c r="AR16" s="3642"/>
      <c r="AS16" s="2412"/>
      <c r="AT16" s="2361"/>
      <c r="AU16" s="2361"/>
      <c r="AV16" s="2362"/>
      <c r="AW16" s="2331"/>
      <c r="AX16" s="1932"/>
    </row>
    <row r="17" spans="1:50" ht="16.5" customHeight="1">
      <c r="A17" s="2486"/>
      <c r="B17" s="3657" t="s">
        <v>205</v>
      </c>
      <c r="C17" s="3658"/>
      <c r="D17" s="2531"/>
      <c r="E17" s="2531"/>
      <c r="F17" s="2263" t="str">
        <f>FIXED(AB44,1)&amp;" EBC "</f>
        <v xml:space="preserve">7.3 EBC </v>
      </c>
      <c r="G17" s="3659" t="str">
        <f>"= "&amp;FIXED(0.508*AB44,1)&amp;" SRM"</f>
        <v>= 3.7 SRM</v>
      </c>
      <c r="H17" s="3659"/>
      <c r="I17" s="3659"/>
      <c r="J17" s="3659"/>
      <c r="K17" s="1824"/>
      <c r="L17" s="413"/>
      <c r="M17" s="276"/>
      <c r="N17" s="276"/>
      <c r="O17" s="276"/>
      <c r="P17" s="276"/>
      <c r="Q17" s="276"/>
      <c r="R17" s="276"/>
      <c r="S17" s="1545"/>
      <c r="T17" s="1545"/>
      <c r="U17" s="276"/>
      <c r="V17" s="2175"/>
      <c r="W17" s="2175"/>
      <c r="X17" s="2175"/>
      <c r="Y17" s="2175"/>
      <c r="Z17" s="2175"/>
      <c r="AA17" s="2175"/>
      <c r="AB17" s="2175"/>
      <c r="AC17" s="2175"/>
      <c r="AD17" s="2175"/>
      <c r="AE17" s="2175"/>
      <c r="AF17" s="2175"/>
      <c r="AG17" s="2175"/>
      <c r="AH17" s="2175"/>
      <c r="AI17" s="2175"/>
      <c r="AJ17" s="2175"/>
      <c r="AK17" s="2175"/>
      <c r="AL17" s="2175"/>
      <c r="AM17" s="931"/>
      <c r="AN17" s="981"/>
      <c r="AO17" s="981"/>
      <c r="AP17" s="981"/>
      <c r="AQ17" s="981"/>
      <c r="AR17" s="981"/>
      <c r="AS17" s="2412"/>
      <c r="AT17" s="2363"/>
      <c r="AU17" s="2363"/>
      <c r="AV17" s="2362"/>
      <c r="AW17" s="2331"/>
      <c r="AX17" s="1932"/>
    </row>
    <row r="18" spans="1:50" ht="16.5" customHeight="1">
      <c r="A18" s="2486"/>
      <c r="B18" s="2530"/>
      <c r="C18" s="445"/>
      <c r="D18" s="445"/>
      <c r="E18" s="445"/>
      <c r="F18" s="446"/>
      <c r="G18" s="447"/>
      <c r="H18" s="447"/>
      <c r="I18" s="447"/>
      <c r="J18" s="447"/>
      <c r="K18" s="447"/>
      <c r="L18" s="2530"/>
      <c r="M18" s="2530"/>
      <c r="N18" s="3569" t="s">
        <v>1550</v>
      </c>
      <c r="O18" s="3569"/>
      <c r="P18" s="231">
        <v>3.15</v>
      </c>
      <c r="Q18" s="2510" t="str">
        <f>"g = "&amp;FIXED((P18*0.035274),4)&amp;" oz"</f>
        <v>g = 0.1111 oz</v>
      </c>
      <c r="R18" s="276"/>
      <c r="S18" s="1545"/>
      <c r="T18" s="1545"/>
      <c r="U18" s="448"/>
      <c r="V18" s="449"/>
      <c r="W18" s="2175"/>
      <c r="X18" s="2175"/>
      <c r="Y18" s="2175"/>
      <c r="Z18" s="2175"/>
      <c r="AA18" s="2175"/>
      <c r="AB18" s="2175"/>
      <c r="AC18" s="444"/>
      <c r="AD18" s="444"/>
      <c r="AE18" s="444"/>
      <c r="AF18" s="444"/>
      <c r="AG18" s="444"/>
      <c r="AH18" s="444"/>
      <c r="AI18" s="444"/>
      <c r="AJ18" s="444"/>
      <c r="AK18" s="444"/>
      <c r="AL18" s="444"/>
      <c r="AM18" s="3627" t="s">
        <v>1655</v>
      </c>
      <c r="AN18" s="3202"/>
      <c r="AO18" s="2330"/>
      <c r="AP18" s="2330"/>
      <c r="AQ18" s="2330"/>
      <c r="AR18" s="2330"/>
      <c r="AS18" s="2330"/>
      <c r="AT18" s="2330"/>
      <c r="AU18" s="2330"/>
      <c r="AV18" s="2362"/>
      <c r="AW18" s="2331"/>
      <c r="AX18" s="1932"/>
    </row>
    <row r="19" spans="1:50" ht="15.75" customHeight="1">
      <c r="A19" s="2486"/>
      <c r="B19" s="2530"/>
      <c r="C19" s="2530"/>
      <c r="D19" s="2530"/>
      <c r="E19" s="2530"/>
      <c r="F19" s="446"/>
      <c r="G19" s="447"/>
      <c r="H19" s="447"/>
      <c r="I19" s="447"/>
      <c r="J19" s="447"/>
      <c r="K19" s="2486"/>
      <c r="L19" s="2530"/>
      <c r="M19" s="2530"/>
      <c r="N19" s="1074"/>
      <c r="O19" s="1718" t="s">
        <v>24</v>
      </c>
      <c r="P19" s="1718" t="s">
        <v>131</v>
      </c>
      <c r="Q19" s="1718" t="s">
        <v>130</v>
      </c>
      <c r="R19" s="43"/>
      <c r="S19" s="1545"/>
      <c r="T19" s="1545"/>
      <c r="U19" s="448"/>
      <c r="V19" s="451"/>
      <c r="W19" s="2175"/>
      <c r="X19" s="2175"/>
      <c r="Y19" s="2175"/>
      <c r="Z19" s="2175"/>
      <c r="AA19" s="2175"/>
      <c r="AB19" s="2175"/>
      <c r="AC19" s="428"/>
      <c r="AD19" s="428"/>
      <c r="AE19" s="428"/>
      <c r="AF19" s="428"/>
      <c r="AG19" s="428"/>
      <c r="AH19" s="428"/>
      <c r="AI19" s="428"/>
      <c r="AJ19" s="428"/>
      <c r="AK19" s="428"/>
      <c r="AL19" s="428"/>
      <c r="AM19" s="2411"/>
      <c r="AN19" s="2046" t="s">
        <v>133</v>
      </c>
      <c r="AO19" s="3671" t="s">
        <v>23</v>
      </c>
      <c r="AP19" s="3672"/>
      <c r="AQ19" s="3171" t="s">
        <v>1657</v>
      </c>
      <c r="AR19" s="3172"/>
      <c r="AS19" s="3173"/>
      <c r="AT19" s="3171" t="s">
        <v>981</v>
      </c>
      <c r="AU19" s="3173"/>
      <c r="AV19" s="2362"/>
      <c r="AW19" s="2331"/>
      <c r="AX19" s="1932"/>
    </row>
    <row r="20" spans="1:50" ht="16.5" customHeight="1">
      <c r="A20" s="2486"/>
      <c r="B20" s="2530"/>
      <c r="C20" s="452"/>
      <c r="D20" s="452"/>
      <c r="E20" s="452"/>
      <c r="F20" s="447"/>
      <c r="G20" s="447"/>
      <c r="H20" s="447"/>
      <c r="I20" s="447"/>
      <c r="J20" s="447"/>
      <c r="K20" s="2486"/>
      <c r="L20" s="2530"/>
      <c r="M20" s="2530"/>
      <c r="N20" s="1074"/>
      <c r="O20" s="1721">
        <v>1</v>
      </c>
      <c r="P20" s="1720">
        <f>P18*O20*0.035274</f>
        <v>0.11111309999999999</v>
      </c>
      <c r="Q20" s="1719">
        <f>O20*P18</f>
        <v>3.15</v>
      </c>
      <c r="R20" s="2533"/>
      <c r="S20" s="1545"/>
      <c r="T20" s="1545"/>
      <c r="U20" s="448"/>
      <c r="V20" s="427"/>
      <c r="W20" s="2175"/>
      <c r="X20" s="2175"/>
      <c r="Y20" s="2175"/>
      <c r="Z20" s="2175"/>
      <c r="AA20" s="2175"/>
      <c r="AB20" s="2175"/>
      <c r="AC20" s="428"/>
      <c r="AD20" s="428"/>
      <c r="AE20" s="428"/>
      <c r="AF20" s="428"/>
      <c r="AG20" s="428"/>
      <c r="AH20" s="428"/>
      <c r="AI20" s="428"/>
      <c r="AJ20" s="428"/>
      <c r="AK20" s="428"/>
      <c r="AL20" s="428"/>
      <c r="AM20" s="1545"/>
      <c r="AN20" s="2047">
        <v>1</v>
      </c>
      <c r="AO20" s="3176">
        <f t="shared" ref="AO20:AO23" si="7">16*AT20</f>
        <v>3.5273368606701938E-2</v>
      </c>
      <c r="AP20" s="3177"/>
      <c r="AQ20" s="3178" t="str">
        <f t="shared" ref="AQ20" si="8">INT(AO20/16)&amp;" lb. "&amp;FIXED(AO20-16*INT(AO20/16),3)</f>
        <v>0 lb. 0.035</v>
      </c>
      <c r="AR20" s="3179"/>
      <c r="AS20" s="3180"/>
      <c r="AT20" s="3181">
        <f t="shared" ref="AT20:AT25" si="9">AN20/(1000*0.4536)</f>
        <v>2.2045855379188711E-3</v>
      </c>
      <c r="AU20" s="3180"/>
      <c r="AV20" s="2362"/>
      <c r="AW20" s="2331"/>
      <c r="AX20" s="1932"/>
    </row>
    <row r="21" spans="1:50" ht="16.5" customHeight="1">
      <c r="A21" s="2486"/>
      <c r="B21" s="2530"/>
      <c r="C21" s="1713"/>
      <c r="D21" s="1713"/>
      <c r="E21" s="1713"/>
      <c r="F21" s="447"/>
      <c r="G21" s="447"/>
      <c r="H21" s="447"/>
      <c r="I21" s="447"/>
      <c r="J21" s="447"/>
      <c r="K21" s="2486"/>
      <c r="L21" s="2530"/>
      <c r="M21" s="2530"/>
      <c r="N21" s="1074"/>
      <c r="O21" s="1545"/>
      <c r="P21" s="1545"/>
      <c r="Q21" s="1545"/>
      <c r="R21" s="1717"/>
      <c r="S21" s="2530"/>
      <c r="T21" s="2530"/>
      <c r="U21" s="2530"/>
      <c r="V21" s="427"/>
      <c r="W21" s="2175"/>
      <c r="X21" s="2175"/>
      <c r="Y21" s="2175"/>
      <c r="Z21" s="2175"/>
      <c r="AA21" s="2175"/>
      <c r="AB21" s="2175"/>
      <c r="AC21" s="428"/>
      <c r="AD21" s="428"/>
      <c r="AE21" s="428"/>
      <c r="AF21" s="428"/>
      <c r="AG21" s="428"/>
      <c r="AH21" s="428"/>
      <c r="AI21" s="428"/>
      <c r="AJ21" s="428"/>
      <c r="AK21" s="428"/>
      <c r="AL21" s="428"/>
      <c r="AM21" s="1545"/>
      <c r="AN21" s="2047">
        <v>35</v>
      </c>
      <c r="AO21" s="3176">
        <f t="shared" si="7"/>
        <v>1.2345679012345678</v>
      </c>
      <c r="AP21" s="3177"/>
      <c r="AQ21" s="3178" t="str">
        <f t="shared" ref="AQ21:AQ23" si="10">INT(AO21/16)&amp;" lb. "&amp;FIXED(AO21-16*INT(AO21/16),3)</f>
        <v>0 lb. 1.235</v>
      </c>
      <c r="AR21" s="3179"/>
      <c r="AS21" s="3180"/>
      <c r="AT21" s="3181">
        <f t="shared" si="9"/>
        <v>7.716049382716049E-2</v>
      </c>
      <c r="AU21" s="3180"/>
      <c r="AV21" s="2362"/>
      <c r="AW21" s="2331"/>
      <c r="AX21" s="1932"/>
    </row>
    <row r="22" spans="1:50" ht="16.5" customHeight="1">
      <c r="A22" s="2486"/>
      <c r="B22" s="2530"/>
      <c r="C22" s="2530"/>
      <c r="D22" s="2530"/>
      <c r="E22" s="2530"/>
      <c r="F22" s="446"/>
      <c r="G22" s="447"/>
      <c r="H22" s="447"/>
      <c r="I22" s="447"/>
      <c r="J22" s="447"/>
      <c r="K22" s="2486"/>
      <c r="L22" s="2530"/>
      <c r="M22" s="2530"/>
      <c r="N22" s="2530"/>
      <c r="O22" s="2530"/>
      <c r="P22" s="2530"/>
      <c r="Q22" s="2530"/>
      <c r="R22" s="2530"/>
      <c r="S22" s="2530"/>
      <c r="T22" s="414"/>
      <c r="U22" s="414"/>
      <c r="V22" s="427"/>
      <c r="W22" s="427"/>
      <c r="X22" s="427"/>
      <c r="Y22" s="427"/>
      <c r="Z22" s="427"/>
      <c r="AA22" s="427"/>
      <c r="AB22" s="427"/>
      <c r="AC22" s="428"/>
      <c r="AD22" s="428"/>
      <c r="AE22" s="428"/>
      <c r="AF22" s="428"/>
      <c r="AG22" s="428"/>
      <c r="AH22" s="428"/>
      <c r="AI22" s="428"/>
      <c r="AJ22" s="428"/>
      <c r="AK22" s="428"/>
      <c r="AL22" s="428"/>
      <c r="AM22" s="1545"/>
      <c r="AN22" s="2047">
        <v>50</v>
      </c>
      <c r="AO22" s="3176">
        <f t="shared" si="7"/>
        <v>1.7636684303350969</v>
      </c>
      <c r="AP22" s="3177"/>
      <c r="AQ22" s="3178" t="str">
        <f t="shared" si="10"/>
        <v>0 lb. 1.764</v>
      </c>
      <c r="AR22" s="3179"/>
      <c r="AS22" s="3180"/>
      <c r="AT22" s="3181">
        <f t="shared" si="9"/>
        <v>0.11022927689594356</v>
      </c>
      <c r="AU22" s="3180"/>
      <c r="AV22" s="2362"/>
      <c r="AW22" s="2331"/>
      <c r="AX22" s="1932"/>
    </row>
    <row r="23" spans="1:50" ht="16.5" customHeight="1">
      <c r="A23" s="2486"/>
      <c r="B23" s="3696" t="s">
        <v>1084</v>
      </c>
      <c r="C23" s="3761"/>
      <c r="D23" s="3762"/>
      <c r="E23" s="3762"/>
      <c r="F23" s="3761"/>
      <c r="G23" s="3761"/>
      <c r="H23" s="3761"/>
      <c r="I23" s="3761"/>
      <c r="J23" s="3761"/>
      <c r="K23" s="3761"/>
      <c r="L23" s="3763" t="s">
        <v>322</v>
      </c>
      <c r="M23" s="3764"/>
      <c r="N23" s="3764"/>
      <c r="O23" s="3764"/>
      <c r="P23" s="3764"/>
      <c r="Q23" s="3765"/>
      <c r="R23" s="3766" t="s">
        <v>325</v>
      </c>
      <c r="S23" s="3767"/>
      <c r="T23" s="3768"/>
      <c r="U23" s="1537"/>
      <c r="V23" s="1704"/>
      <c r="W23" s="1704"/>
      <c r="X23" s="1704"/>
      <c r="Y23" s="1704"/>
      <c r="Z23" s="454"/>
      <c r="AA23" s="1704"/>
      <c r="AB23" s="1704"/>
      <c r="AC23" s="376"/>
      <c r="AD23" s="455"/>
      <c r="AE23" s="455"/>
      <c r="AF23" s="455"/>
      <c r="AG23" s="455"/>
      <c r="AH23" s="455"/>
      <c r="AI23" s="455"/>
      <c r="AJ23" s="455"/>
      <c r="AK23" s="376"/>
      <c r="AL23" s="376"/>
      <c r="AM23" s="1545"/>
      <c r="AN23" s="2047">
        <v>100</v>
      </c>
      <c r="AO23" s="3176">
        <f t="shared" si="7"/>
        <v>3.5273368606701938</v>
      </c>
      <c r="AP23" s="3177"/>
      <c r="AQ23" s="3178" t="str">
        <f t="shared" si="10"/>
        <v>0 lb. 3.527</v>
      </c>
      <c r="AR23" s="3179"/>
      <c r="AS23" s="3180"/>
      <c r="AT23" s="3181">
        <f t="shared" si="9"/>
        <v>0.22045855379188711</v>
      </c>
      <c r="AU23" s="3180"/>
      <c r="AV23" s="2362"/>
      <c r="AW23" s="2331"/>
      <c r="AX23" s="1932"/>
    </row>
    <row r="24" spans="1:50" ht="16.5" customHeight="1">
      <c r="A24" s="456"/>
      <c r="B24" s="457"/>
      <c r="C24" s="458"/>
      <c r="D24" s="1706"/>
      <c r="E24" s="1706"/>
      <c r="F24" s="458"/>
      <c r="G24" s="458"/>
      <c r="H24" s="458"/>
      <c r="I24" s="458"/>
      <c r="J24" s="459"/>
      <c r="K24" s="460"/>
      <c r="L24" s="3323" t="s">
        <v>1577</v>
      </c>
      <c r="M24" s="3324"/>
      <c r="N24" s="3324"/>
      <c r="O24" s="3324"/>
      <c r="P24" s="3324"/>
      <c r="Q24" s="3325"/>
      <c r="R24" s="3323" t="s">
        <v>1085</v>
      </c>
      <c r="S24" s="3324"/>
      <c r="T24" s="3325"/>
      <c r="U24" s="1538"/>
      <c r="V24" s="455" t="s">
        <v>203</v>
      </c>
      <c r="W24" s="461"/>
      <c r="X24" s="455" t="s">
        <v>205</v>
      </c>
      <c r="Y24" s="461"/>
      <c r="Z24" s="462" t="s">
        <v>207</v>
      </c>
      <c r="AA24" s="1704" t="s">
        <v>208</v>
      </c>
      <c r="AB24" s="455" t="s">
        <v>205</v>
      </c>
      <c r="AC24" s="463"/>
      <c r="AD24" s="1704"/>
      <c r="AE24" s="1704"/>
      <c r="AF24" s="1704"/>
      <c r="AG24" s="1704"/>
      <c r="AH24" s="1704"/>
      <c r="AI24" s="1704"/>
      <c r="AJ24" s="1704"/>
      <c r="AK24" s="376"/>
      <c r="AL24" s="376"/>
      <c r="AM24" s="1545"/>
      <c r="AN24" s="2047">
        <v>500</v>
      </c>
      <c r="AO24" s="3176">
        <f>16*AT24</f>
        <v>17.636684303350968</v>
      </c>
      <c r="AP24" s="3177"/>
      <c r="AQ24" s="3178" t="str">
        <f>INT(AO24/16)&amp;" lb. "&amp;FIXED(AO24-16*INT(AO24/16),3)</f>
        <v>1 lb. 1.637</v>
      </c>
      <c r="AR24" s="3179"/>
      <c r="AS24" s="3180"/>
      <c r="AT24" s="3181">
        <f t="shared" si="9"/>
        <v>1.1022927689594355</v>
      </c>
      <c r="AU24" s="3180"/>
      <c r="AV24" s="2362"/>
      <c r="AW24" s="2331"/>
      <c r="AX24" s="1932"/>
    </row>
    <row r="25" spans="1:50" ht="16.5" customHeight="1">
      <c r="A25" s="2486"/>
      <c r="B25" s="3651" t="s">
        <v>1086</v>
      </c>
      <c r="C25" s="3651"/>
      <c r="D25" s="1430" t="s">
        <v>22</v>
      </c>
      <c r="E25" s="1430" t="s">
        <v>23</v>
      </c>
      <c r="F25" s="2120" t="s">
        <v>1087</v>
      </c>
      <c r="G25" s="2121" t="s">
        <v>292</v>
      </c>
      <c r="H25" s="2112" t="s">
        <v>1088</v>
      </c>
      <c r="I25" s="1845" t="s">
        <v>973</v>
      </c>
      <c r="J25" s="3701"/>
      <c r="K25" s="3701"/>
      <c r="L25" s="3660" t="s">
        <v>1089</v>
      </c>
      <c r="M25" s="3660"/>
      <c r="N25" s="3660"/>
      <c r="O25" s="3660"/>
      <c r="P25" s="3660"/>
      <c r="Q25" s="3660"/>
      <c r="R25" s="3661" t="s">
        <v>1090</v>
      </c>
      <c r="S25" s="3662"/>
      <c r="T25" s="3663"/>
      <c r="U25" s="1538"/>
      <c r="V25" s="455" t="s">
        <v>213</v>
      </c>
      <c r="W25" s="461"/>
      <c r="X25" s="455" t="s">
        <v>215</v>
      </c>
      <c r="Y25" s="461"/>
      <c r="Z25" s="454"/>
      <c r="AA25" s="1704" t="s">
        <v>1091</v>
      </c>
      <c r="AB25" s="419"/>
      <c r="AC25" s="463"/>
      <c r="AD25" s="376"/>
      <c r="AE25" s="376"/>
      <c r="AF25" s="376"/>
      <c r="AG25" s="376"/>
      <c r="AH25" s="376"/>
      <c r="AI25" s="376"/>
      <c r="AJ25" s="376"/>
      <c r="AK25" s="304"/>
      <c r="AL25" s="304"/>
      <c r="AM25" s="1545"/>
      <c r="AN25" s="2047">
        <v>750</v>
      </c>
      <c r="AO25" s="3176">
        <f>16*AT25</f>
        <v>26.455026455026452</v>
      </c>
      <c r="AP25" s="3177"/>
      <c r="AQ25" s="3178" t="str">
        <f>INT(AO25/16)&amp;" lb. "&amp;FIXED(AO25-16*INT(AO25/16),3)</f>
        <v>1 lb. 10.455</v>
      </c>
      <c r="AR25" s="3179"/>
      <c r="AS25" s="3180"/>
      <c r="AT25" s="3181">
        <f t="shared" si="9"/>
        <v>1.6534391534391533</v>
      </c>
      <c r="AU25" s="3180"/>
      <c r="AV25" s="2333"/>
      <c r="AW25" s="2331"/>
      <c r="AX25" s="1932"/>
    </row>
    <row r="26" spans="1:50" ht="16.5" customHeight="1">
      <c r="A26" s="2486"/>
      <c r="B26" s="1343"/>
      <c r="C26" s="2816" t="str">
        <f t="shared" ref="C26:C34" si="11">C100</f>
        <v>White Sorghum Syrup</v>
      </c>
      <c r="D26" s="1438">
        <v>5.7</v>
      </c>
      <c r="E26" s="1438"/>
      <c r="F26" s="2122">
        <f>453.6*(D26+E26/16)</f>
        <v>2585.5200000000004</v>
      </c>
      <c r="G26" s="2123" t="s">
        <v>141</v>
      </c>
      <c r="H26" s="2113">
        <f t="shared" ref="H26:H34" si="12">100*IF(F26=0,0,F26/$H$45)</f>
        <v>83.093743672808273</v>
      </c>
      <c r="I26" s="2100">
        <f t="shared" ref="I26:I34" si="13">IF(Z26=0,0,Z26*100/$Z$46)</f>
        <v>74.735211896105938</v>
      </c>
      <c r="J26" s="3701"/>
      <c r="K26" s="3701"/>
      <c r="L26" s="3652" t="s">
        <v>328</v>
      </c>
      <c r="M26" s="3652"/>
      <c r="N26" s="3652"/>
      <c r="O26" s="3653" t="s">
        <v>329</v>
      </c>
      <c r="P26" s="3653"/>
      <c r="Q26" s="3653"/>
      <c r="R26" s="3654" t="s">
        <v>327</v>
      </c>
      <c r="S26" s="3655"/>
      <c r="T26" s="3656"/>
      <c r="U26" s="1538"/>
      <c r="V26" s="464">
        <f>F100</f>
        <v>277.5</v>
      </c>
      <c r="W26" s="461"/>
      <c r="X26" s="1704">
        <f>H100</f>
        <v>6.5</v>
      </c>
      <c r="Y26" s="461"/>
      <c r="Z26" s="454">
        <f t="shared" ref="Z26:Z34" si="14">0.001*F26*V26</f>
        <v>717.48180000000025</v>
      </c>
      <c r="AA26" s="454">
        <f>Z26*G100/100</f>
        <v>530.93653200000017</v>
      </c>
      <c r="AB26" s="1704">
        <f t="shared" ref="AB26:AB34" si="15">0.01*F26*X26</f>
        <v>168.05880000000002</v>
      </c>
      <c r="AC26" s="463"/>
      <c r="AD26" s="1704"/>
      <c r="AE26" s="455"/>
      <c r="AF26" s="455"/>
      <c r="AG26" s="455"/>
      <c r="AH26" s="455"/>
      <c r="AI26" s="455"/>
      <c r="AJ26" s="3650" t="s">
        <v>1092</v>
      </c>
      <c r="AK26" s="3650"/>
      <c r="AL26" s="3650"/>
      <c r="AM26" s="1545"/>
      <c r="AN26" s="1545"/>
      <c r="AO26" s="1545"/>
      <c r="AP26" s="1545"/>
      <c r="AQ26" s="1545"/>
      <c r="AR26" s="1545"/>
      <c r="AS26" s="1545"/>
      <c r="AT26" s="1545"/>
      <c r="AU26" s="1545"/>
      <c r="AV26" s="1545"/>
      <c r="AW26" s="2331"/>
      <c r="AX26" s="1932"/>
    </row>
    <row r="27" spans="1:50" ht="16.5" customHeight="1">
      <c r="A27" s="2486"/>
      <c r="B27" s="1343"/>
      <c r="C27" s="2816" t="str">
        <f t="shared" si="11"/>
        <v>Clarified Brown Rice Syrup</v>
      </c>
      <c r="D27" s="1167"/>
      <c r="E27" s="1167"/>
      <c r="F27" s="2122">
        <f t="shared" ref="F27:F42" si="16">453.6*(D27+E27/16)</f>
        <v>0</v>
      </c>
      <c r="G27" s="2123" t="s">
        <v>141</v>
      </c>
      <c r="H27" s="2113">
        <f t="shared" si="12"/>
        <v>0</v>
      </c>
      <c r="I27" s="2100">
        <f t="shared" si="13"/>
        <v>0</v>
      </c>
      <c r="J27" s="3702"/>
      <c r="K27" s="3702"/>
      <c r="L27" s="3756" t="s">
        <v>29</v>
      </c>
      <c r="M27" s="3753" t="s">
        <v>1597</v>
      </c>
      <c r="N27" s="3755" t="s">
        <v>1598</v>
      </c>
      <c r="O27" s="3756" t="s">
        <v>29</v>
      </c>
      <c r="P27" s="3757" t="s">
        <v>1597</v>
      </c>
      <c r="Q27" s="3755" t="s">
        <v>1598</v>
      </c>
      <c r="R27" s="3756" t="s">
        <v>29</v>
      </c>
      <c r="S27" s="3757" t="s">
        <v>1597</v>
      </c>
      <c r="T27" s="3755" t="s">
        <v>1598</v>
      </c>
      <c r="U27" s="1538"/>
      <c r="V27" s="464">
        <f t="shared" ref="V27:V34" si="17">F101</f>
        <v>262.5</v>
      </c>
      <c r="W27" s="461"/>
      <c r="X27" s="1704">
        <f>H101</f>
        <v>4</v>
      </c>
      <c r="Y27" s="461"/>
      <c r="Z27" s="454">
        <f t="shared" si="14"/>
        <v>0</v>
      </c>
      <c r="AA27" s="454">
        <f>Z27*G101/100</f>
        <v>0</v>
      </c>
      <c r="AB27" s="1704">
        <f t="shared" si="15"/>
        <v>0</v>
      </c>
      <c r="AC27" s="465"/>
      <c r="AD27" s="3703" t="s">
        <v>211</v>
      </c>
      <c r="AE27" s="3703"/>
      <c r="AF27" s="3703"/>
      <c r="AG27" s="3649" t="s">
        <v>212</v>
      </c>
      <c r="AH27" s="3649"/>
      <c r="AI27" s="3649"/>
      <c r="AJ27" s="3650" t="s">
        <v>220</v>
      </c>
      <c r="AK27" s="3650"/>
      <c r="AL27" s="3650"/>
      <c r="AM27" s="1545"/>
      <c r="AN27" s="3314" t="s">
        <v>981</v>
      </c>
      <c r="AO27" s="3315"/>
      <c r="AP27" s="2334" t="s">
        <v>23</v>
      </c>
      <c r="AQ27" s="3191" t="s">
        <v>23</v>
      </c>
      <c r="AR27" s="3192"/>
      <c r="AS27" s="2494" t="s">
        <v>133</v>
      </c>
      <c r="AT27" s="1545"/>
      <c r="AU27" s="2414"/>
      <c r="AV27" s="2333"/>
      <c r="AW27" s="2331"/>
      <c r="AX27" s="1932"/>
    </row>
    <row r="28" spans="1:50" ht="16.5" customHeight="1">
      <c r="A28" s="2486"/>
      <c r="B28" s="1343"/>
      <c r="C28" s="2816" t="str">
        <f t="shared" si="11"/>
        <v>Corn Syrup (10% max.)</v>
      </c>
      <c r="D28" s="1167"/>
      <c r="E28" s="1167"/>
      <c r="F28" s="2122">
        <f t="shared" si="16"/>
        <v>0</v>
      </c>
      <c r="G28" s="2123" t="s">
        <v>141</v>
      </c>
      <c r="H28" s="2113">
        <f t="shared" si="12"/>
        <v>0</v>
      </c>
      <c r="I28" s="2100">
        <f t="shared" si="13"/>
        <v>0</v>
      </c>
      <c r="J28" s="466" t="s">
        <v>202</v>
      </c>
      <c r="K28" s="2176" t="s">
        <v>975</v>
      </c>
      <c r="L28" s="3756"/>
      <c r="M28" s="3754"/>
      <c r="N28" s="3755"/>
      <c r="O28" s="3756"/>
      <c r="P28" s="3757"/>
      <c r="Q28" s="3755"/>
      <c r="R28" s="3756"/>
      <c r="S28" s="3757"/>
      <c r="T28" s="3755"/>
      <c r="U28" s="1538"/>
      <c r="V28" s="464">
        <f t="shared" si="17"/>
        <v>293.625</v>
      </c>
      <c r="W28" s="467"/>
      <c r="X28" s="1704">
        <f>H102</f>
        <v>2</v>
      </c>
      <c r="Y28" s="461"/>
      <c r="Z28" s="454">
        <f t="shared" si="14"/>
        <v>0</v>
      </c>
      <c r="AA28" s="454">
        <f>Z28*G102/100</f>
        <v>0</v>
      </c>
      <c r="AB28" s="1704">
        <f t="shared" si="15"/>
        <v>0</v>
      </c>
      <c r="AC28" s="465"/>
      <c r="AD28" s="468" t="s">
        <v>217</v>
      </c>
      <c r="AE28" s="468" t="s">
        <v>218</v>
      </c>
      <c r="AF28" s="468" t="s">
        <v>219</v>
      </c>
      <c r="AG28" s="469" t="s">
        <v>217</v>
      </c>
      <c r="AH28" s="468" t="s">
        <v>218</v>
      </c>
      <c r="AI28" s="468" t="s">
        <v>219</v>
      </c>
      <c r="AJ28" s="469" t="s">
        <v>217</v>
      </c>
      <c r="AK28" s="468" t="s">
        <v>218</v>
      </c>
      <c r="AL28" s="468" t="s">
        <v>219</v>
      </c>
      <c r="AM28" s="1545"/>
      <c r="AN28" s="3182"/>
      <c r="AO28" s="3183"/>
      <c r="AP28" s="2335">
        <v>8</v>
      </c>
      <c r="AQ28" s="3184">
        <f>AN28*16+AP28</f>
        <v>8</v>
      </c>
      <c r="AR28" s="3185"/>
      <c r="AS28" s="2336">
        <f>1000*(AO28+AQ28/16)*0.4536</f>
        <v>226.8</v>
      </c>
      <c r="AT28" s="1545"/>
      <c r="AU28" s="2414"/>
      <c r="AV28" s="2333"/>
      <c r="AW28" s="2331"/>
      <c r="AX28" s="1932"/>
    </row>
    <row r="29" spans="1:50" ht="16.5" customHeight="1">
      <c r="A29" s="2486"/>
      <c r="B29" s="1343"/>
      <c r="C29" s="2816" t="str">
        <f t="shared" si="11"/>
        <v>-</v>
      </c>
      <c r="D29" s="1167"/>
      <c r="E29" s="1167"/>
      <c r="F29" s="2122">
        <f t="shared" si="16"/>
        <v>0</v>
      </c>
      <c r="G29" s="2123" t="s">
        <v>141</v>
      </c>
      <c r="H29" s="2113">
        <f t="shared" si="12"/>
        <v>0</v>
      </c>
      <c r="I29" s="2100">
        <f t="shared" si="13"/>
        <v>0</v>
      </c>
      <c r="J29" s="470" t="s">
        <v>799</v>
      </c>
      <c r="K29" s="542">
        <v>14.5</v>
      </c>
      <c r="L29" s="1274"/>
      <c r="M29" s="1275"/>
      <c r="N29" s="1276"/>
      <c r="O29" s="2055">
        <f t="shared" ref="O29:Q55" si="18">L29</f>
        <v>0</v>
      </c>
      <c r="P29" s="2056">
        <f t="shared" si="18"/>
        <v>0</v>
      </c>
      <c r="Q29" s="2057">
        <f t="shared" si="18"/>
        <v>0</v>
      </c>
      <c r="R29" s="1283"/>
      <c r="S29" s="1284"/>
      <c r="T29" s="1285"/>
      <c r="U29" s="1538"/>
      <c r="V29" s="464">
        <f t="shared" si="17"/>
        <v>0</v>
      </c>
      <c r="W29" s="467"/>
      <c r="X29" s="1704">
        <f t="shared" ref="X29:X34" si="19">G103</f>
        <v>0</v>
      </c>
      <c r="Y29" s="461"/>
      <c r="Z29" s="454">
        <f t="shared" si="14"/>
        <v>0</v>
      </c>
      <c r="AA29" s="454">
        <f t="shared" ref="AA29:AA34" si="20">Z29*H103/100</f>
        <v>0</v>
      </c>
      <c r="AB29" s="1704">
        <f t="shared" si="15"/>
        <v>0</v>
      </c>
      <c r="AC29" s="465"/>
      <c r="AD29" s="1704">
        <f t="shared" ref="AD29:AL55" si="21">$K29*L29</f>
        <v>0</v>
      </c>
      <c r="AE29" s="1704">
        <f t="shared" si="21"/>
        <v>0</v>
      </c>
      <c r="AF29" s="1704">
        <f t="shared" si="21"/>
        <v>0</v>
      </c>
      <c r="AG29" s="2536">
        <f t="shared" si="21"/>
        <v>0</v>
      </c>
      <c r="AH29" s="1704">
        <f t="shared" si="21"/>
        <v>0</v>
      </c>
      <c r="AI29" s="1704">
        <f t="shared" si="21"/>
        <v>0</v>
      </c>
      <c r="AJ29" s="2536">
        <f t="shared" si="21"/>
        <v>0</v>
      </c>
      <c r="AK29" s="1704">
        <f t="shared" si="21"/>
        <v>0</v>
      </c>
      <c r="AL29" s="1704">
        <f t="shared" si="21"/>
        <v>0</v>
      </c>
      <c r="AM29" s="1545"/>
      <c r="AN29" s="3182">
        <v>1</v>
      </c>
      <c r="AO29" s="3186"/>
      <c r="AP29" s="2326"/>
      <c r="AQ29" s="3184">
        <f>AN29*16+AP29</f>
        <v>16</v>
      </c>
      <c r="AR29" s="3185"/>
      <c r="AS29" s="2336">
        <f t="shared" ref="AS29:AS33" si="22">1000*(AO29+AQ29/16)*0.4536</f>
        <v>453.6</v>
      </c>
      <c r="AT29" s="1545"/>
      <c r="AU29" s="2414"/>
      <c r="AV29" s="2333"/>
      <c r="AW29" s="2331"/>
      <c r="AX29" s="1932"/>
    </row>
    <row r="30" spans="1:50" ht="16.5" customHeight="1">
      <c r="A30" s="2486"/>
      <c r="B30" s="1343"/>
      <c r="C30" s="2816" t="str">
        <f t="shared" si="11"/>
        <v>-</v>
      </c>
      <c r="D30" s="1167"/>
      <c r="E30" s="1167"/>
      <c r="F30" s="2122">
        <f t="shared" si="16"/>
        <v>0</v>
      </c>
      <c r="G30" s="2123" t="s">
        <v>141</v>
      </c>
      <c r="H30" s="2113">
        <f t="shared" si="12"/>
        <v>0</v>
      </c>
      <c r="I30" s="2100">
        <f t="shared" si="13"/>
        <v>0</v>
      </c>
      <c r="J30" s="470" t="s">
        <v>221</v>
      </c>
      <c r="K30" s="472">
        <v>6.2</v>
      </c>
      <c r="L30" s="1277"/>
      <c r="M30" s="1278"/>
      <c r="N30" s="1279"/>
      <c r="O30" s="1289">
        <f t="shared" si="18"/>
        <v>0</v>
      </c>
      <c r="P30" s="1290">
        <f t="shared" si="18"/>
        <v>0</v>
      </c>
      <c r="Q30" s="1291">
        <f t="shared" si="18"/>
        <v>0</v>
      </c>
      <c r="R30" s="1277"/>
      <c r="S30" s="1278"/>
      <c r="T30" s="1279"/>
      <c r="U30" s="1538"/>
      <c r="V30" s="464">
        <f t="shared" si="17"/>
        <v>0</v>
      </c>
      <c r="W30" s="467"/>
      <c r="X30" s="1704">
        <f t="shared" si="19"/>
        <v>0</v>
      </c>
      <c r="Y30" s="461"/>
      <c r="Z30" s="454">
        <f t="shared" si="14"/>
        <v>0</v>
      </c>
      <c r="AA30" s="454">
        <f t="shared" si="20"/>
        <v>0</v>
      </c>
      <c r="AB30" s="1704">
        <f t="shared" si="15"/>
        <v>0</v>
      </c>
      <c r="AC30" s="465"/>
      <c r="AD30" s="1704">
        <f t="shared" si="21"/>
        <v>0</v>
      </c>
      <c r="AE30" s="1704">
        <f t="shared" si="21"/>
        <v>0</v>
      </c>
      <c r="AF30" s="1704">
        <f t="shared" si="21"/>
        <v>0</v>
      </c>
      <c r="AG30" s="2536">
        <f t="shared" si="21"/>
        <v>0</v>
      </c>
      <c r="AH30" s="1704">
        <f t="shared" si="21"/>
        <v>0</v>
      </c>
      <c r="AI30" s="1704">
        <f t="shared" si="21"/>
        <v>0</v>
      </c>
      <c r="AJ30" s="2536">
        <f t="shared" si="21"/>
        <v>0</v>
      </c>
      <c r="AK30" s="1704">
        <f t="shared" si="21"/>
        <v>0</v>
      </c>
      <c r="AL30" s="1704">
        <f t="shared" si="21"/>
        <v>0</v>
      </c>
      <c r="AM30" s="1545"/>
      <c r="AN30" s="3182">
        <v>1</v>
      </c>
      <c r="AO30" s="3186"/>
      <c r="AP30" s="2326">
        <v>8</v>
      </c>
      <c r="AQ30" s="3184">
        <f t="shared" ref="AQ30:AQ33" si="23">AN30*16+AP30</f>
        <v>24</v>
      </c>
      <c r="AR30" s="3185"/>
      <c r="AS30" s="2336">
        <f t="shared" si="22"/>
        <v>680.4</v>
      </c>
      <c r="AT30" s="1545"/>
      <c r="AU30" s="2414"/>
      <c r="AV30" s="2333"/>
      <c r="AW30" s="2331"/>
      <c r="AX30" s="1932"/>
    </row>
    <row r="31" spans="1:50" ht="16.5" customHeight="1">
      <c r="A31" s="2486"/>
      <c r="B31" s="1343"/>
      <c r="C31" s="2816" t="str">
        <f t="shared" si="11"/>
        <v>-</v>
      </c>
      <c r="D31" s="1167"/>
      <c r="E31" s="1167"/>
      <c r="F31" s="2122">
        <f t="shared" si="16"/>
        <v>0</v>
      </c>
      <c r="G31" s="2123" t="s">
        <v>141</v>
      </c>
      <c r="H31" s="2113">
        <f t="shared" si="12"/>
        <v>0</v>
      </c>
      <c r="I31" s="2100">
        <f t="shared" si="13"/>
        <v>0</v>
      </c>
      <c r="J31" s="470" t="s">
        <v>222</v>
      </c>
      <c r="K31" s="472">
        <v>8</v>
      </c>
      <c r="L31" s="1277"/>
      <c r="M31" s="1278"/>
      <c r="N31" s="1279"/>
      <c r="O31" s="1289">
        <f t="shared" si="18"/>
        <v>0</v>
      </c>
      <c r="P31" s="1290">
        <f t="shared" si="18"/>
        <v>0</v>
      </c>
      <c r="Q31" s="1291">
        <f t="shared" si="18"/>
        <v>0</v>
      </c>
      <c r="R31" s="1277"/>
      <c r="S31" s="1278"/>
      <c r="T31" s="1279"/>
      <c r="U31" s="1538"/>
      <c r="V31" s="464">
        <f t="shared" si="17"/>
        <v>0</v>
      </c>
      <c r="W31" s="467"/>
      <c r="X31" s="1704">
        <f t="shared" si="19"/>
        <v>0</v>
      </c>
      <c r="Y31" s="461"/>
      <c r="Z31" s="454">
        <f t="shared" si="14"/>
        <v>0</v>
      </c>
      <c r="AA31" s="454">
        <f t="shared" si="20"/>
        <v>0</v>
      </c>
      <c r="AB31" s="1704">
        <f t="shared" si="15"/>
        <v>0</v>
      </c>
      <c r="AC31" s="465"/>
      <c r="AD31" s="1704">
        <f t="shared" si="21"/>
        <v>0</v>
      </c>
      <c r="AE31" s="1704">
        <f t="shared" si="21"/>
        <v>0</v>
      </c>
      <c r="AF31" s="1704">
        <f t="shared" si="21"/>
        <v>0</v>
      </c>
      <c r="AG31" s="2536">
        <f t="shared" si="21"/>
        <v>0</v>
      </c>
      <c r="AH31" s="1704">
        <f t="shared" si="21"/>
        <v>0</v>
      </c>
      <c r="AI31" s="1704">
        <f t="shared" si="21"/>
        <v>0</v>
      </c>
      <c r="AJ31" s="2536">
        <f t="shared" si="21"/>
        <v>0</v>
      </c>
      <c r="AK31" s="1704">
        <f t="shared" si="21"/>
        <v>0</v>
      </c>
      <c r="AL31" s="1704">
        <f t="shared" si="21"/>
        <v>0</v>
      </c>
      <c r="AM31" s="1545"/>
      <c r="AN31" s="3182">
        <v>2</v>
      </c>
      <c r="AO31" s="3186"/>
      <c r="AP31" s="2326"/>
      <c r="AQ31" s="3184">
        <f t="shared" si="23"/>
        <v>32</v>
      </c>
      <c r="AR31" s="3185"/>
      <c r="AS31" s="2336">
        <f t="shared" si="22"/>
        <v>907.2</v>
      </c>
      <c r="AT31" s="1545"/>
      <c r="AU31" s="2414"/>
      <c r="AV31" s="2333"/>
      <c r="AW31" s="2331"/>
      <c r="AX31" s="1932"/>
    </row>
    <row r="32" spans="1:50" ht="16.5" customHeight="1">
      <c r="A32" s="2486"/>
      <c r="B32" s="1344"/>
      <c r="C32" s="2817" t="str">
        <f t="shared" si="11"/>
        <v>-</v>
      </c>
      <c r="D32" s="1167"/>
      <c r="E32" s="1167"/>
      <c r="F32" s="2122">
        <f t="shared" si="16"/>
        <v>0</v>
      </c>
      <c r="G32" s="2123" t="s">
        <v>141</v>
      </c>
      <c r="H32" s="2113">
        <f t="shared" si="12"/>
        <v>0</v>
      </c>
      <c r="I32" s="2100">
        <f t="shared" si="13"/>
        <v>0</v>
      </c>
      <c r="J32" s="470" t="s">
        <v>1093</v>
      </c>
      <c r="K32" s="472">
        <v>7.6</v>
      </c>
      <c r="L32" s="1277"/>
      <c r="M32" s="1278"/>
      <c r="N32" s="1279"/>
      <c r="O32" s="1289">
        <f t="shared" si="18"/>
        <v>0</v>
      </c>
      <c r="P32" s="1290">
        <f t="shared" si="18"/>
        <v>0</v>
      </c>
      <c r="Q32" s="1291">
        <f t="shared" si="18"/>
        <v>0</v>
      </c>
      <c r="R32" s="1277"/>
      <c r="S32" s="1278"/>
      <c r="T32" s="1279"/>
      <c r="U32" s="1538"/>
      <c r="V32" s="464">
        <f t="shared" si="17"/>
        <v>0</v>
      </c>
      <c r="W32" s="467"/>
      <c r="X32" s="1704">
        <f t="shared" si="19"/>
        <v>0</v>
      </c>
      <c r="Y32" s="461"/>
      <c r="Z32" s="454">
        <f t="shared" si="14"/>
        <v>0</v>
      </c>
      <c r="AA32" s="454">
        <f t="shared" si="20"/>
        <v>0</v>
      </c>
      <c r="AB32" s="1704">
        <f t="shared" si="15"/>
        <v>0</v>
      </c>
      <c r="AC32" s="465"/>
      <c r="AD32" s="1704">
        <f t="shared" si="21"/>
        <v>0</v>
      </c>
      <c r="AE32" s="1704">
        <f t="shared" si="21"/>
        <v>0</v>
      </c>
      <c r="AF32" s="1704">
        <f t="shared" si="21"/>
        <v>0</v>
      </c>
      <c r="AG32" s="2536">
        <f t="shared" si="21"/>
        <v>0</v>
      </c>
      <c r="AH32" s="1704">
        <f t="shared" si="21"/>
        <v>0</v>
      </c>
      <c r="AI32" s="1704">
        <f t="shared" si="21"/>
        <v>0</v>
      </c>
      <c r="AJ32" s="2536">
        <f t="shared" si="21"/>
        <v>0</v>
      </c>
      <c r="AK32" s="1704">
        <f t="shared" si="21"/>
        <v>0</v>
      </c>
      <c r="AL32" s="1704">
        <f t="shared" si="21"/>
        <v>0</v>
      </c>
      <c r="AM32" s="1545"/>
      <c r="AN32" s="3182"/>
      <c r="AO32" s="3186"/>
      <c r="AP32" s="2326">
        <v>5.83</v>
      </c>
      <c r="AQ32" s="3184">
        <f t="shared" si="23"/>
        <v>5.83</v>
      </c>
      <c r="AR32" s="3185"/>
      <c r="AS32" s="2336">
        <f t="shared" si="22"/>
        <v>165.28049999999999</v>
      </c>
      <c r="AT32" s="1545"/>
      <c r="AU32" s="2414"/>
      <c r="AV32" s="2333"/>
      <c r="AW32" s="2331"/>
      <c r="AX32" s="1932"/>
    </row>
    <row r="33" spans="1:50" ht="16.5" customHeight="1">
      <c r="A33" s="2486"/>
      <c r="B33" s="1344"/>
      <c r="C33" s="2816" t="str">
        <f t="shared" si="11"/>
        <v>-</v>
      </c>
      <c r="D33" s="1167"/>
      <c r="E33" s="1167"/>
      <c r="F33" s="2122">
        <f t="shared" si="16"/>
        <v>0</v>
      </c>
      <c r="G33" s="2123" t="s">
        <v>141</v>
      </c>
      <c r="H33" s="2113">
        <f t="shared" si="12"/>
        <v>0</v>
      </c>
      <c r="I33" s="2100">
        <f t="shared" si="13"/>
        <v>0</v>
      </c>
      <c r="J33" s="470" t="s">
        <v>223</v>
      </c>
      <c r="K33" s="472">
        <v>7.5</v>
      </c>
      <c r="L33" s="1277">
        <v>0.97</v>
      </c>
      <c r="M33" s="1278"/>
      <c r="N33" s="1279"/>
      <c r="O33" s="1289">
        <f t="shared" si="18"/>
        <v>0.97</v>
      </c>
      <c r="P33" s="1290">
        <f t="shared" si="18"/>
        <v>0</v>
      </c>
      <c r="Q33" s="1291">
        <f t="shared" si="18"/>
        <v>0</v>
      </c>
      <c r="R33" s="1277">
        <v>0.54</v>
      </c>
      <c r="S33" s="1278"/>
      <c r="T33" s="1279"/>
      <c r="U33" s="1538"/>
      <c r="V33" s="464">
        <f t="shared" si="17"/>
        <v>0</v>
      </c>
      <c r="W33" s="467"/>
      <c r="X33" s="1704">
        <f t="shared" si="19"/>
        <v>0</v>
      </c>
      <c r="Y33" s="461"/>
      <c r="Z33" s="454">
        <f t="shared" si="14"/>
        <v>0</v>
      </c>
      <c r="AA33" s="454">
        <f t="shared" si="20"/>
        <v>0</v>
      </c>
      <c r="AB33" s="1704">
        <f t="shared" si="15"/>
        <v>0</v>
      </c>
      <c r="AC33" s="465"/>
      <c r="AD33" s="1704">
        <f t="shared" si="21"/>
        <v>7.2749999999999995</v>
      </c>
      <c r="AE33" s="1704">
        <f t="shared" si="21"/>
        <v>0</v>
      </c>
      <c r="AF33" s="1704">
        <f t="shared" si="21"/>
        <v>0</v>
      </c>
      <c r="AG33" s="2536">
        <f t="shared" si="21"/>
        <v>7.2749999999999995</v>
      </c>
      <c r="AH33" s="1704">
        <f t="shared" si="21"/>
        <v>0</v>
      </c>
      <c r="AI33" s="1704">
        <f t="shared" si="21"/>
        <v>0</v>
      </c>
      <c r="AJ33" s="2536">
        <f t="shared" si="21"/>
        <v>4.0500000000000007</v>
      </c>
      <c r="AK33" s="1704">
        <f t="shared" si="21"/>
        <v>0</v>
      </c>
      <c r="AL33" s="1704">
        <f t="shared" si="21"/>
        <v>0</v>
      </c>
      <c r="AM33" s="1545"/>
      <c r="AN33" s="3182"/>
      <c r="AO33" s="3186"/>
      <c r="AP33" s="2326">
        <v>0.1111</v>
      </c>
      <c r="AQ33" s="3184">
        <f t="shared" si="23"/>
        <v>0.1111</v>
      </c>
      <c r="AR33" s="3185"/>
      <c r="AS33" s="2336">
        <f t="shared" si="22"/>
        <v>3.1496850000000003</v>
      </c>
      <c r="AT33" s="1545"/>
      <c r="AU33" s="2414"/>
      <c r="AV33" s="2333"/>
      <c r="AW33" s="2333"/>
      <c r="AX33" s="1932"/>
    </row>
    <row r="34" spans="1:50" ht="16.5" customHeight="1">
      <c r="A34" s="2486"/>
      <c r="B34" s="1344"/>
      <c r="C34" s="2816" t="str">
        <f t="shared" si="11"/>
        <v>-</v>
      </c>
      <c r="D34" s="1986"/>
      <c r="E34" s="1986"/>
      <c r="F34" s="2122">
        <f t="shared" si="16"/>
        <v>0</v>
      </c>
      <c r="G34" s="2124" t="s">
        <v>141</v>
      </c>
      <c r="H34" s="2114">
        <f t="shared" si="12"/>
        <v>0</v>
      </c>
      <c r="I34" s="2101">
        <f t="shared" si="13"/>
        <v>0</v>
      </c>
      <c r="J34" s="470" t="s">
        <v>224</v>
      </c>
      <c r="K34" s="472">
        <v>5.5</v>
      </c>
      <c r="L34" s="1277"/>
      <c r="M34" s="1278"/>
      <c r="N34" s="1279"/>
      <c r="O34" s="1289">
        <f t="shared" si="18"/>
        <v>0</v>
      </c>
      <c r="P34" s="1290">
        <f t="shared" si="18"/>
        <v>0</v>
      </c>
      <c r="Q34" s="1291">
        <f t="shared" si="18"/>
        <v>0</v>
      </c>
      <c r="R34" s="1277"/>
      <c r="S34" s="1278"/>
      <c r="T34" s="1279"/>
      <c r="U34" s="1538"/>
      <c r="V34" s="464">
        <f t="shared" si="17"/>
        <v>0</v>
      </c>
      <c r="W34" s="467"/>
      <c r="X34" s="1704">
        <f t="shared" si="19"/>
        <v>0</v>
      </c>
      <c r="Y34" s="461"/>
      <c r="Z34" s="454">
        <f t="shared" si="14"/>
        <v>0</v>
      </c>
      <c r="AA34" s="454">
        <f t="shared" si="20"/>
        <v>0</v>
      </c>
      <c r="AB34" s="1704">
        <f t="shared" si="15"/>
        <v>0</v>
      </c>
      <c r="AC34" s="465"/>
      <c r="AD34" s="1704">
        <f t="shared" si="21"/>
        <v>0</v>
      </c>
      <c r="AE34" s="1704">
        <f t="shared" si="21"/>
        <v>0</v>
      </c>
      <c r="AF34" s="1704">
        <f t="shared" si="21"/>
        <v>0</v>
      </c>
      <c r="AG34" s="2536">
        <f t="shared" si="21"/>
        <v>0</v>
      </c>
      <c r="AH34" s="1704">
        <f t="shared" si="21"/>
        <v>0</v>
      </c>
      <c r="AI34" s="1704">
        <f t="shared" si="21"/>
        <v>0</v>
      </c>
      <c r="AJ34" s="2536">
        <f t="shared" si="21"/>
        <v>0</v>
      </c>
      <c r="AK34" s="1704">
        <f t="shared" si="21"/>
        <v>0</v>
      </c>
      <c r="AL34" s="1704">
        <f t="shared" si="21"/>
        <v>0</v>
      </c>
      <c r="AM34" s="1545"/>
      <c r="AN34" s="2331"/>
      <c r="AO34" s="2331"/>
      <c r="AP34" s="2331"/>
      <c r="AQ34" s="2331"/>
      <c r="AR34" s="2331"/>
      <c r="AS34" s="2331"/>
      <c r="AT34" s="1545"/>
      <c r="AU34" s="2333"/>
      <c r="AV34" s="2333"/>
      <c r="AW34" s="2331"/>
      <c r="AX34" s="1932"/>
    </row>
    <row r="35" spans="1:50" ht="16.5" customHeight="1">
      <c r="A35" s="2486"/>
      <c r="B35" s="1344"/>
      <c r="C35" s="2937" t="s">
        <v>1610</v>
      </c>
      <c r="D35" s="2178"/>
      <c r="E35" s="2178"/>
      <c r="F35" s="2122"/>
      <c r="G35" s="2124"/>
      <c r="H35" s="2114"/>
      <c r="I35" s="2101"/>
      <c r="J35" s="470" t="s">
        <v>801</v>
      </c>
      <c r="K35" s="472">
        <v>7.5</v>
      </c>
      <c r="L35" s="1277"/>
      <c r="M35" s="1278"/>
      <c r="N35" s="1279"/>
      <c r="O35" s="1289">
        <f t="shared" si="18"/>
        <v>0</v>
      </c>
      <c r="P35" s="1290">
        <f t="shared" si="18"/>
        <v>0</v>
      </c>
      <c r="Q35" s="1291">
        <f t="shared" si="18"/>
        <v>0</v>
      </c>
      <c r="R35" s="1277"/>
      <c r="S35" s="1278"/>
      <c r="T35" s="1279"/>
      <c r="U35" s="1538"/>
      <c r="V35" s="304"/>
      <c r="W35" s="304"/>
      <c r="X35" s="304"/>
      <c r="Y35" s="304"/>
      <c r="Z35" s="304"/>
      <c r="AA35" s="304"/>
      <c r="AB35" s="304"/>
      <c r="AC35" s="304"/>
      <c r="AD35" s="1704">
        <f t="shared" si="21"/>
        <v>0</v>
      </c>
      <c r="AE35" s="1704">
        <f t="shared" si="21"/>
        <v>0</v>
      </c>
      <c r="AF35" s="1704">
        <f t="shared" si="21"/>
        <v>0</v>
      </c>
      <c r="AG35" s="2536">
        <f t="shared" si="21"/>
        <v>0</v>
      </c>
      <c r="AH35" s="1704">
        <f t="shared" si="21"/>
        <v>0</v>
      </c>
      <c r="AI35" s="1704">
        <f t="shared" si="21"/>
        <v>0</v>
      </c>
      <c r="AJ35" s="2536">
        <f t="shared" si="21"/>
        <v>0</v>
      </c>
      <c r="AK35" s="1704">
        <f t="shared" si="21"/>
        <v>0</v>
      </c>
      <c r="AL35" s="1704">
        <f t="shared" si="21"/>
        <v>0</v>
      </c>
      <c r="AM35" s="3807" t="s">
        <v>1659</v>
      </c>
      <c r="AN35" s="3807"/>
      <c r="AO35" s="3807"/>
      <c r="AP35" s="3807"/>
      <c r="AQ35" s="3807"/>
      <c r="AR35" s="3807"/>
      <c r="AS35" s="3807"/>
      <c r="AT35" s="1545"/>
      <c r="AU35" s="2333"/>
      <c r="AV35" s="2333"/>
      <c r="AW35" s="2331"/>
      <c r="AX35" s="1932"/>
    </row>
    <row r="36" spans="1:50" ht="16.5" customHeight="1">
      <c r="A36" s="2486"/>
      <c r="B36" s="3708" t="s">
        <v>1094</v>
      </c>
      <c r="C36" s="3708"/>
      <c r="D36" s="1712" t="s">
        <v>22</v>
      </c>
      <c r="E36" s="1712" t="s">
        <v>23</v>
      </c>
      <c r="F36" s="2125"/>
      <c r="G36" s="2126"/>
      <c r="H36" s="2115"/>
      <c r="I36" s="1985"/>
      <c r="J36" s="470" t="s">
        <v>225</v>
      </c>
      <c r="K36" s="472">
        <v>4.5</v>
      </c>
      <c r="L36" s="1277"/>
      <c r="M36" s="1278"/>
      <c r="N36" s="1279"/>
      <c r="O36" s="1289">
        <f t="shared" si="18"/>
        <v>0</v>
      </c>
      <c r="P36" s="1290">
        <f t="shared" si="18"/>
        <v>0</v>
      </c>
      <c r="Q36" s="1291">
        <f t="shared" si="18"/>
        <v>0</v>
      </c>
      <c r="R36" s="1277"/>
      <c r="S36" s="1278"/>
      <c r="T36" s="1279"/>
      <c r="U36" s="1538"/>
      <c r="V36" s="304"/>
      <c r="W36" s="304"/>
      <c r="X36" s="304"/>
      <c r="Y36" s="304"/>
      <c r="Z36" s="304"/>
      <c r="AA36" s="304"/>
      <c r="AB36" s="304"/>
      <c r="AC36" s="304"/>
      <c r="AD36" s="1704">
        <f t="shared" si="21"/>
        <v>0</v>
      </c>
      <c r="AE36" s="1704">
        <f t="shared" si="21"/>
        <v>0</v>
      </c>
      <c r="AF36" s="1704">
        <f t="shared" si="21"/>
        <v>0</v>
      </c>
      <c r="AG36" s="2536">
        <f t="shared" si="21"/>
        <v>0</v>
      </c>
      <c r="AH36" s="1704">
        <f t="shared" si="21"/>
        <v>0</v>
      </c>
      <c r="AI36" s="1704">
        <f t="shared" si="21"/>
        <v>0</v>
      </c>
      <c r="AJ36" s="2536">
        <f t="shared" si="21"/>
        <v>0</v>
      </c>
      <c r="AK36" s="1704">
        <f t="shared" si="21"/>
        <v>0</v>
      </c>
      <c r="AL36" s="1704">
        <f t="shared" si="21"/>
        <v>0</v>
      </c>
      <c r="AM36" s="1255"/>
      <c r="AN36" s="3168" t="s">
        <v>23</v>
      </c>
      <c r="AO36" s="3168"/>
      <c r="AP36" s="2410" t="s">
        <v>132</v>
      </c>
      <c r="AQ36" s="3169" t="s">
        <v>141</v>
      </c>
      <c r="AR36" s="3170"/>
      <c r="AS36" s="1255"/>
      <c r="AT36" s="931"/>
      <c r="AU36" s="931"/>
      <c r="AV36" s="2333"/>
      <c r="AW36" s="2331"/>
      <c r="AX36" s="1932"/>
    </row>
    <row r="37" spans="1:50" ht="16.5" customHeight="1">
      <c r="A37" s="2486"/>
      <c r="B37" s="1345"/>
      <c r="C37" s="2816" t="str">
        <f t="shared" ref="C37:C42" si="24">C111</f>
        <v>Cane / beet sugar (sucrose)</v>
      </c>
      <c r="D37" s="1167">
        <v>1</v>
      </c>
      <c r="E37" s="1167"/>
      <c r="F37" s="2122">
        <f>453.6*(D37+E37/16)</f>
        <v>453.6</v>
      </c>
      <c r="G37" s="2123" t="s">
        <v>141</v>
      </c>
      <c r="H37" s="2113">
        <f t="shared" ref="H37:H43" si="25">100*IF(F37=0,0,F37/$H$45)</f>
        <v>14.577849767159343</v>
      </c>
      <c r="I37" s="2100">
        <f t="shared" ref="I37:I42" si="26">IF(Z37=0,0,Z37*100/$Z$46)</f>
        <v>17.718163085847781</v>
      </c>
      <c r="J37" s="470" t="s">
        <v>226</v>
      </c>
      <c r="K37" s="472">
        <v>5</v>
      </c>
      <c r="L37" s="1277">
        <f>L33</f>
        <v>0.97</v>
      </c>
      <c r="M37" s="1278"/>
      <c r="N37" s="1279"/>
      <c r="O37" s="1289">
        <f t="shared" si="18"/>
        <v>0.97</v>
      </c>
      <c r="P37" s="1290">
        <f t="shared" si="18"/>
        <v>0</v>
      </c>
      <c r="Q37" s="1291">
        <f t="shared" si="18"/>
        <v>0</v>
      </c>
      <c r="R37" s="1277">
        <f>R33</f>
        <v>0.54</v>
      </c>
      <c r="S37" s="1278"/>
      <c r="T37" s="1279"/>
      <c r="U37" s="1538"/>
      <c r="V37" s="464">
        <f t="shared" ref="V37:X42" si="27">F111</f>
        <v>375</v>
      </c>
      <c r="W37" s="1704">
        <f t="shared" si="27"/>
        <v>1</v>
      </c>
      <c r="X37" s="1704">
        <f t="shared" si="27"/>
        <v>0</v>
      </c>
      <c r="Y37" s="376"/>
      <c r="Z37" s="454">
        <f t="shared" ref="Z37:Z42" si="28">0.001*F37*V37</f>
        <v>170.10000000000002</v>
      </c>
      <c r="AA37" s="1704">
        <f t="shared" ref="AA37:AA42" si="29">Z37*W37</f>
        <v>170.10000000000002</v>
      </c>
      <c r="AB37" s="1704">
        <f t="shared" ref="AB37:AB42" si="30">0.01*F37*X37</f>
        <v>0</v>
      </c>
      <c r="AC37" s="304">
        <v>1</v>
      </c>
      <c r="AD37" s="1704">
        <f t="shared" si="21"/>
        <v>4.8499999999999996</v>
      </c>
      <c r="AE37" s="1704">
        <f t="shared" si="21"/>
        <v>0</v>
      </c>
      <c r="AF37" s="1704">
        <f t="shared" si="21"/>
        <v>0</v>
      </c>
      <c r="AG37" s="2536">
        <f t="shared" si="21"/>
        <v>4.8499999999999996</v>
      </c>
      <c r="AH37" s="1704">
        <f t="shared" si="21"/>
        <v>0</v>
      </c>
      <c r="AI37" s="1704">
        <f t="shared" si="21"/>
        <v>0</v>
      </c>
      <c r="AJ37" s="2536">
        <f t="shared" si="21"/>
        <v>2.7</v>
      </c>
      <c r="AK37" s="1704">
        <f t="shared" si="21"/>
        <v>0</v>
      </c>
      <c r="AL37" s="1704">
        <f t="shared" si="21"/>
        <v>0</v>
      </c>
      <c r="AM37" s="1255"/>
      <c r="AN37" s="3139">
        <f>AP37/28.3495</f>
        <v>3.4215771001252226E-2</v>
      </c>
      <c r="AO37" s="3139"/>
      <c r="AP37" s="2368">
        <v>0.97</v>
      </c>
      <c r="AQ37" s="3140">
        <f t="shared" ref="AQ37:AQ41" si="31">AP37*28.3495</f>
        <v>27.499015</v>
      </c>
      <c r="AR37" s="3141"/>
      <c r="AS37" s="1255"/>
      <c r="AT37" s="931"/>
      <c r="AU37" s="931"/>
      <c r="AV37" s="2333"/>
      <c r="AW37" s="2331"/>
      <c r="AX37" s="1932"/>
    </row>
    <row r="38" spans="1:50" ht="16.5" customHeight="1">
      <c r="A38" s="2486"/>
      <c r="B38" s="1343"/>
      <c r="C38" s="2816" t="str">
        <f t="shared" si="24"/>
        <v>Brown sugar (light)</v>
      </c>
      <c r="D38" s="1167"/>
      <c r="E38" s="1167"/>
      <c r="F38" s="2122">
        <f t="shared" si="16"/>
        <v>0</v>
      </c>
      <c r="G38" s="2123" t="s">
        <v>141</v>
      </c>
      <c r="H38" s="2113">
        <f t="shared" si="25"/>
        <v>0</v>
      </c>
      <c r="I38" s="2100">
        <f t="shared" si="26"/>
        <v>0</v>
      </c>
      <c r="J38" s="470" t="s">
        <v>1540</v>
      </c>
      <c r="K38" s="472">
        <v>3.25</v>
      </c>
      <c r="L38" s="1277"/>
      <c r="M38" s="1278"/>
      <c r="N38" s="1279"/>
      <c r="O38" s="1289">
        <f t="shared" si="18"/>
        <v>0</v>
      </c>
      <c r="P38" s="1290">
        <f t="shared" si="18"/>
        <v>0</v>
      </c>
      <c r="Q38" s="1291">
        <f t="shared" si="18"/>
        <v>0</v>
      </c>
      <c r="R38" s="1277"/>
      <c r="S38" s="1278"/>
      <c r="T38" s="1279"/>
      <c r="U38" s="1538"/>
      <c r="V38" s="464">
        <f t="shared" si="27"/>
        <v>370</v>
      </c>
      <c r="W38" s="1704">
        <f t="shared" si="27"/>
        <v>1</v>
      </c>
      <c r="X38" s="1704">
        <f t="shared" si="27"/>
        <v>16</v>
      </c>
      <c r="Y38" s="376"/>
      <c r="Z38" s="454">
        <f t="shared" si="28"/>
        <v>0</v>
      </c>
      <c r="AA38" s="1704">
        <f t="shared" si="29"/>
        <v>0</v>
      </c>
      <c r="AB38" s="1704">
        <f t="shared" si="30"/>
        <v>0</v>
      </c>
      <c r="AC38" s="465"/>
      <c r="AD38" s="1704">
        <f t="shared" si="21"/>
        <v>0</v>
      </c>
      <c r="AE38" s="1704">
        <f t="shared" si="21"/>
        <v>0</v>
      </c>
      <c r="AF38" s="1704">
        <f t="shared" si="21"/>
        <v>0</v>
      </c>
      <c r="AG38" s="2536">
        <f t="shared" si="21"/>
        <v>0</v>
      </c>
      <c r="AH38" s="1704">
        <f t="shared" si="21"/>
        <v>0</v>
      </c>
      <c r="AI38" s="1704">
        <f t="shared" si="21"/>
        <v>0</v>
      </c>
      <c r="AJ38" s="2536">
        <f t="shared" si="21"/>
        <v>0</v>
      </c>
      <c r="AK38" s="1704">
        <f t="shared" si="21"/>
        <v>0</v>
      </c>
      <c r="AL38" s="1704">
        <f t="shared" si="21"/>
        <v>0</v>
      </c>
      <c r="AM38" s="1255"/>
      <c r="AN38" s="3139">
        <f t="shared" ref="AN38:AN41" si="32">AP38/28.3495</f>
        <v>1.904795499038784E-2</v>
      </c>
      <c r="AO38" s="3139"/>
      <c r="AP38" s="2368">
        <v>0.54</v>
      </c>
      <c r="AQ38" s="3140">
        <f t="shared" si="31"/>
        <v>15.308730000000001</v>
      </c>
      <c r="AR38" s="3141"/>
      <c r="AS38" s="1255"/>
      <c r="AT38" s="931"/>
      <c r="AU38" s="931"/>
      <c r="AV38" s="2333"/>
      <c r="AW38" s="2331"/>
      <c r="AX38" s="1932"/>
    </row>
    <row r="39" spans="1:50" ht="16.5" customHeight="1">
      <c r="A39" s="2486"/>
      <c r="B39" s="1343"/>
      <c r="C39" s="2816" t="str">
        <f t="shared" si="24"/>
        <v>Brown sugar (medium)</v>
      </c>
      <c r="D39" s="1167"/>
      <c r="E39" s="1167"/>
      <c r="F39" s="2122">
        <f t="shared" si="16"/>
        <v>0</v>
      </c>
      <c r="G39" s="2123" t="s">
        <v>141</v>
      </c>
      <c r="H39" s="2113">
        <f t="shared" si="25"/>
        <v>0</v>
      </c>
      <c r="I39" s="2100">
        <f>IF(Z39=0,0,Z39*100/$Z$46)</f>
        <v>0</v>
      </c>
      <c r="J39" s="470" t="s">
        <v>1541</v>
      </c>
      <c r="K39" s="472">
        <v>6.7</v>
      </c>
      <c r="L39" s="1277"/>
      <c r="M39" s="1278"/>
      <c r="N39" s="1279"/>
      <c r="O39" s="1289">
        <f t="shared" si="18"/>
        <v>0</v>
      </c>
      <c r="P39" s="1290">
        <f t="shared" si="18"/>
        <v>0</v>
      </c>
      <c r="Q39" s="1291">
        <f t="shared" si="18"/>
        <v>0</v>
      </c>
      <c r="R39" s="1277"/>
      <c r="S39" s="1278"/>
      <c r="T39" s="1279"/>
      <c r="U39" s="1538"/>
      <c r="V39" s="464">
        <f t="shared" si="27"/>
        <v>370</v>
      </c>
      <c r="W39" s="1704">
        <f t="shared" si="27"/>
        <v>1</v>
      </c>
      <c r="X39" s="464">
        <f t="shared" si="27"/>
        <v>45</v>
      </c>
      <c r="Y39" s="376"/>
      <c r="Z39" s="454">
        <f t="shared" si="28"/>
        <v>0</v>
      </c>
      <c r="AA39" s="1704">
        <f t="shared" si="29"/>
        <v>0</v>
      </c>
      <c r="AB39" s="1704">
        <f t="shared" si="30"/>
        <v>0</v>
      </c>
      <c r="AC39" s="465"/>
      <c r="AD39" s="1704">
        <f t="shared" si="21"/>
        <v>0</v>
      </c>
      <c r="AE39" s="1704">
        <f t="shared" si="21"/>
        <v>0</v>
      </c>
      <c r="AF39" s="1704">
        <f t="shared" si="21"/>
        <v>0</v>
      </c>
      <c r="AG39" s="2536">
        <f t="shared" si="21"/>
        <v>0</v>
      </c>
      <c r="AH39" s="1704">
        <f t="shared" si="21"/>
        <v>0</v>
      </c>
      <c r="AI39" s="1704">
        <f t="shared" si="21"/>
        <v>0</v>
      </c>
      <c r="AJ39" s="2536">
        <f t="shared" si="21"/>
        <v>0</v>
      </c>
      <c r="AK39" s="1704">
        <f t="shared" si="21"/>
        <v>0</v>
      </c>
      <c r="AL39" s="1704">
        <f t="shared" si="21"/>
        <v>0</v>
      </c>
      <c r="AM39" s="1255"/>
      <c r="AN39" s="3139">
        <f t="shared" si="32"/>
        <v>0.10582197216882132</v>
      </c>
      <c r="AO39" s="3139"/>
      <c r="AP39" s="2368">
        <v>3</v>
      </c>
      <c r="AQ39" s="3140">
        <f t="shared" si="31"/>
        <v>85.04849999999999</v>
      </c>
      <c r="AR39" s="3141"/>
      <c r="AS39" s="1255"/>
      <c r="AT39" s="931"/>
      <c r="AU39" s="931"/>
      <c r="AV39" s="2333"/>
      <c r="AW39" s="2331"/>
      <c r="AX39" s="1932"/>
    </row>
    <row r="40" spans="1:50" ht="16.5" customHeight="1">
      <c r="A40" s="2486"/>
      <c r="B40" s="1343"/>
      <c r="C40" s="2816" t="str">
        <f t="shared" si="24"/>
        <v>Brown sugar (dark)</v>
      </c>
      <c r="D40" s="1167"/>
      <c r="E40" s="1167"/>
      <c r="F40" s="2122">
        <f t="shared" si="16"/>
        <v>0</v>
      </c>
      <c r="G40" s="2123" t="s">
        <v>141</v>
      </c>
      <c r="H40" s="2113">
        <f t="shared" si="25"/>
        <v>0</v>
      </c>
      <c r="I40" s="2100">
        <f t="shared" si="26"/>
        <v>0</v>
      </c>
      <c r="J40" s="470" t="s">
        <v>802</v>
      </c>
      <c r="K40" s="472">
        <v>13.5</v>
      </c>
      <c r="L40" s="1277"/>
      <c r="M40" s="1278"/>
      <c r="N40" s="1279"/>
      <c r="O40" s="1289">
        <f t="shared" si="18"/>
        <v>0</v>
      </c>
      <c r="P40" s="1290">
        <f t="shared" si="18"/>
        <v>0</v>
      </c>
      <c r="Q40" s="1291">
        <f t="shared" si="18"/>
        <v>0</v>
      </c>
      <c r="R40" s="1277"/>
      <c r="S40" s="1278"/>
      <c r="T40" s="1279"/>
      <c r="U40" s="1538"/>
      <c r="V40" s="464">
        <f t="shared" si="27"/>
        <v>370</v>
      </c>
      <c r="W40" s="1704">
        <f t="shared" si="27"/>
        <v>1</v>
      </c>
      <c r="X40" s="464">
        <f t="shared" si="27"/>
        <v>90</v>
      </c>
      <c r="Y40" s="1704"/>
      <c r="Z40" s="454">
        <f t="shared" si="28"/>
        <v>0</v>
      </c>
      <c r="AA40" s="1704">
        <f t="shared" si="29"/>
        <v>0</v>
      </c>
      <c r="AB40" s="1704">
        <f t="shared" si="30"/>
        <v>0</v>
      </c>
      <c r="AC40" s="465"/>
      <c r="AD40" s="1704">
        <f t="shared" si="21"/>
        <v>0</v>
      </c>
      <c r="AE40" s="1704">
        <f t="shared" si="21"/>
        <v>0</v>
      </c>
      <c r="AF40" s="1704">
        <f t="shared" si="21"/>
        <v>0</v>
      </c>
      <c r="AG40" s="2536">
        <f t="shared" si="21"/>
        <v>0</v>
      </c>
      <c r="AH40" s="1704">
        <f t="shared" si="21"/>
        <v>0</v>
      </c>
      <c r="AI40" s="1704">
        <f t="shared" si="21"/>
        <v>0</v>
      </c>
      <c r="AJ40" s="2536">
        <f t="shared" si="21"/>
        <v>0</v>
      </c>
      <c r="AK40" s="1704">
        <f t="shared" si="21"/>
        <v>0</v>
      </c>
      <c r="AL40" s="1704">
        <f t="shared" si="21"/>
        <v>0</v>
      </c>
      <c r="AM40" s="1255"/>
      <c r="AN40" s="3139">
        <f t="shared" si="32"/>
        <v>0.21164394433764264</v>
      </c>
      <c r="AO40" s="3139"/>
      <c r="AP40" s="2368">
        <v>6</v>
      </c>
      <c r="AQ40" s="3140">
        <f t="shared" si="31"/>
        <v>170.09699999999998</v>
      </c>
      <c r="AR40" s="3141"/>
      <c r="AS40" s="1255"/>
      <c r="AT40" s="931"/>
      <c r="AU40" s="931"/>
      <c r="AV40" s="2333"/>
      <c r="AW40" s="2331"/>
      <c r="AX40" s="1932"/>
    </row>
    <row r="41" spans="1:50" ht="16.5" customHeight="1">
      <c r="A41" s="2486"/>
      <c r="B41" s="1343"/>
      <c r="C41" s="2816" t="str">
        <f t="shared" si="24"/>
        <v>Honey (1 lb = 454g)</v>
      </c>
      <c r="D41" s="1167"/>
      <c r="E41" s="1167"/>
      <c r="F41" s="2122">
        <f t="shared" si="16"/>
        <v>0</v>
      </c>
      <c r="G41" s="2123" t="s">
        <v>141</v>
      </c>
      <c r="H41" s="2113">
        <f t="shared" si="25"/>
        <v>0</v>
      </c>
      <c r="I41" s="2100">
        <f t="shared" si="26"/>
        <v>0</v>
      </c>
      <c r="J41" s="470" t="s">
        <v>227</v>
      </c>
      <c r="K41" s="472">
        <v>7.5</v>
      </c>
      <c r="L41" s="1277"/>
      <c r="M41" s="1278"/>
      <c r="N41" s="1279"/>
      <c r="O41" s="1289">
        <f t="shared" si="18"/>
        <v>0</v>
      </c>
      <c r="P41" s="1290">
        <f t="shared" si="18"/>
        <v>0</v>
      </c>
      <c r="Q41" s="1291">
        <f t="shared" si="18"/>
        <v>0</v>
      </c>
      <c r="R41" s="1277"/>
      <c r="S41" s="1278"/>
      <c r="T41" s="1279"/>
      <c r="U41" s="1538"/>
      <c r="V41" s="464">
        <f t="shared" si="27"/>
        <v>300</v>
      </c>
      <c r="W41" s="1704">
        <f t="shared" si="27"/>
        <v>0.95</v>
      </c>
      <c r="X41" s="464">
        <f t="shared" si="27"/>
        <v>10</v>
      </c>
      <c r="Y41" s="1704"/>
      <c r="Z41" s="454">
        <f t="shared" si="28"/>
        <v>0</v>
      </c>
      <c r="AA41" s="1704">
        <f t="shared" si="29"/>
        <v>0</v>
      </c>
      <c r="AB41" s="1704">
        <f t="shared" si="30"/>
        <v>0</v>
      </c>
      <c r="AC41" s="465"/>
      <c r="AD41" s="1704">
        <f t="shared" si="21"/>
        <v>0</v>
      </c>
      <c r="AE41" s="1704">
        <f t="shared" si="21"/>
        <v>0</v>
      </c>
      <c r="AF41" s="1704">
        <f t="shared" si="21"/>
        <v>0</v>
      </c>
      <c r="AG41" s="2536">
        <f t="shared" si="21"/>
        <v>0</v>
      </c>
      <c r="AH41" s="1704">
        <f t="shared" si="21"/>
        <v>0</v>
      </c>
      <c r="AI41" s="1704">
        <f t="shared" si="21"/>
        <v>0</v>
      </c>
      <c r="AJ41" s="2536">
        <f t="shared" si="21"/>
        <v>0</v>
      </c>
      <c r="AK41" s="1704">
        <f t="shared" si="21"/>
        <v>0</v>
      </c>
      <c r="AL41" s="1704">
        <f t="shared" si="21"/>
        <v>0</v>
      </c>
      <c r="AM41" s="1255"/>
      <c r="AN41" s="3139">
        <f t="shared" si="32"/>
        <v>0.317465916506464</v>
      </c>
      <c r="AO41" s="3139"/>
      <c r="AP41" s="2368">
        <v>9</v>
      </c>
      <c r="AQ41" s="3140">
        <f t="shared" si="31"/>
        <v>255.1455</v>
      </c>
      <c r="AR41" s="3141"/>
      <c r="AS41" s="1255"/>
      <c r="AT41" s="931"/>
      <c r="AU41" s="931"/>
      <c r="AV41" s="2333"/>
      <c r="AW41" s="2331"/>
      <c r="AX41" s="1932"/>
    </row>
    <row r="42" spans="1:50" ht="16.5" customHeight="1">
      <c r="A42" s="2486"/>
      <c r="B42" s="1343"/>
      <c r="C42" s="2879" t="str">
        <f t="shared" si="24"/>
        <v>Lactose (no fermentable sugars)</v>
      </c>
      <c r="D42" s="1167"/>
      <c r="E42" s="1167"/>
      <c r="F42" s="2122">
        <f t="shared" si="16"/>
        <v>0</v>
      </c>
      <c r="G42" s="2123" t="s">
        <v>141</v>
      </c>
      <c r="H42" s="2113">
        <f t="shared" si="25"/>
        <v>0</v>
      </c>
      <c r="I42" s="2100">
        <f t="shared" si="26"/>
        <v>0</v>
      </c>
      <c r="J42" s="470" t="s">
        <v>228</v>
      </c>
      <c r="K42" s="472">
        <v>9.25</v>
      </c>
      <c r="L42" s="1277"/>
      <c r="M42" s="1278"/>
      <c r="N42" s="1279"/>
      <c r="O42" s="1289">
        <f t="shared" si="18"/>
        <v>0</v>
      </c>
      <c r="P42" s="1290">
        <f t="shared" si="18"/>
        <v>0</v>
      </c>
      <c r="Q42" s="1291">
        <f t="shared" si="18"/>
        <v>0</v>
      </c>
      <c r="R42" s="1277"/>
      <c r="S42" s="1278"/>
      <c r="T42" s="1279"/>
      <c r="U42" s="1538"/>
      <c r="V42" s="464">
        <f t="shared" si="27"/>
        <v>380</v>
      </c>
      <c r="W42" s="1704">
        <f t="shared" si="27"/>
        <v>0</v>
      </c>
      <c r="X42" s="464">
        <f t="shared" si="27"/>
        <v>30</v>
      </c>
      <c r="Y42" s="413"/>
      <c r="Z42" s="454">
        <f t="shared" si="28"/>
        <v>0</v>
      </c>
      <c r="AA42" s="1704">
        <f t="shared" si="29"/>
        <v>0</v>
      </c>
      <c r="AB42" s="1704">
        <f t="shared" si="30"/>
        <v>0</v>
      </c>
      <c r="AC42" s="465"/>
      <c r="AD42" s="1704">
        <f t="shared" si="21"/>
        <v>0</v>
      </c>
      <c r="AE42" s="1704">
        <f t="shared" si="21"/>
        <v>0</v>
      </c>
      <c r="AF42" s="1704">
        <f t="shared" si="21"/>
        <v>0</v>
      </c>
      <c r="AG42" s="2536">
        <f t="shared" si="21"/>
        <v>0</v>
      </c>
      <c r="AH42" s="1704">
        <f t="shared" si="21"/>
        <v>0</v>
      </c>
      <c r="AI42" s="1704">
        <f t="shared" si="21"/>
        <v>0</v>
      </c>
      <c r="AJ42" s="2536">
        <f t="shared" si="21"/>
        <v>0</v>
      </c>
      <c r="AK42" s="1704">
        <f t="shared" si="21"/>
        <v>0</v>
      </c>
      <c r="AL42" s="1704">
        <f t="shared" si="21"/>
        <v>0</v>
      </c>
      <c r="AM42" s="1051"/>
      <c r="AN42" s="1051"/>
      <c r="AO42" s="2331"/>
      <c r="AP42" s="2331"/>
      <c r="AQ42" s="2331"/>
      <c r="AR42" s="2331"/>
      <c r="AS42" s="2331"/>
      <c r="AT42" s="2331"/>
      <c r="AU42" s="2333"/>
      <c r="AV42" s="2333"/>
      <c r="AW42" s="2331"/>
      <c r="AX42" s="1932"/>
    </row>
    <row r="43" spans="1:50" ht="16.5" customHeight="1">
      <c r="A43" s="2486"/>
      <c r="B43" s="1343"/>
      <c r="C43" s="2309" t="s">
        <v>144</v>
      </c>
      <c r="D43" s="1825">
        <v>3.15</v>
      </c>
      <c r="E43" s="2179" t="s">
        <v>960</v>
      </c>
      <c r="F43" s="2122">
        <f>D43*D5</f>
        <v>72.45</v>
      </c>
      <c r="G43" s="2123" t="s">
        <v>141</v>
      </c>
      <c r="H43" s="2113">
        <f t="shared" si="25"/>
        <v>2.3284065600323953</v>
      </c>
      <c r="I43" s="2101">
        <f>IF(Z45=0,0,Z45*100/$Z$46)</f>
        <v>7.5466250180462744</v>
      </c>
      <c r="J43" s="470" t="s">
        <v>803</v>
      </c>
      <c r="K43" s="472">
        <v>6.5</v>
      </c>
      <c r="L43" s="1277"/>
      <c r="M43" s="1278"/>
      <c r="N43" s="1279"/>
      <c r="O43" s="1289">
        <f t="shared" si="18"/>
        <v>0</v>
      </c>
      <c r="P43" s="1290">
        <f t="shared" si="18"/>
        <v>0</v>
      </c>
      <c r="Q43" s="1291">
        <f t="shared" si="18"/>
        <v>0</v>
      </c>
      <c r="R43" s="1277"/>
      <c r="S43" s="1278"/>
      <c r="T43" s="1279"/>
      <c r="U43" s="1538"/>
      <c r="V43" s="455"/>
      <c r="W43" s="455"/>
      <c r="X43" s="376"/>
      <c r="Y43" s="376"/>
      <c r="Z43" s="473"/>
      <c r="AA43" s="473"/>
      <c r="AB43" s="473"/>
      <c r="AC43" s="474"/>
      <c r="AD43" s="1704">
        <f t="shared" si="21"/>
        <v>0</v>
      </c>
      <c r="AE43" s="1704">
        <f t="shared" si="21"/>
        <v>0</v>
      </c>
      <c r="AF43" s="1704">
        <f t="shared" si="21"/>
        <v>0</v>
      </c>
      <c r="AG43" s="2536">
        <f t="shared" si="21"/>
        <v>0</v>
      </c>
      <c r="AH43" s="1704">
        <f t="shared" si="21"/>
        <v>0</v>
      </c>
      <c r="AI43" s="1704">
        <f t="shared" si="21"/>
        <v>0</v>
      </c>
      <c r="AJ43" s="2536">
        <f t="shared" si="21"/>
        <v>0</v>
      </c>
      <c r="AK43" s="1704">
        <f t="shared" si="21"/>
        <v>0</v>
      </c>
      <c r="AL43" s="1704">
        <f t="shared" si="21"/>
        <v>0</v>
      </c>
      <c r="AM43" s="3670" t="s">
        <v>1627</v>
      </c>
      <c r="AN43" s="3670"/>
      <c r="AO43" s="3670"/>
      <c r="AP43" s="3670"/>
      <c r="AQ43" s="1531"/>
      <c r="AR43" s="1531"/>
      <c r="AS43" s="1051"/>
      <c r="AT43" s="1051"/>
      <c r="AU43" s="1051"/>
      <c r="AV43" s="1051"/>
      <c r="AW43" s="1051"/>
      <c r="AX43" s="1932"/>
    </row>
    <row r="44" spans="1:50" ht="16.5" customHeight="1">
      <c r="A44" s="2486"/>
      <c r="B44" s="1343"/>
      <c r="C44" s="435" t="s">
        <v>167</v>
      </c>
      <c r="D44" s="3758" t="str">
        <f>FIXED(D43/P18)&amp;" level 5ml tsp.litre"</f>
        <v>1.00 level 5ml tsp.litre</v>
      </c>
      <c r="E44" s="3758"/>
      <c r="F44" s="3759"/>
      <c r="G44" s="2119"/>
      <c r="H44" s="2116"/>
      <c r="I44" s="2102">
        <f>D43</f>
        <v>3.15</v>
      </c>
      <c r="J44" s="470" t="s">
        <v>1095</v>
      </c>
      <c r="K44" s="472">
        <v>11</v>
      </c>
      <c r="L44" s="1277"/>
      <c r="M44" s="1278"/>
      <c r="N44" s="1279"/>
      <c r="O44" s="1289">
        <f t="shared" si="18"/>
        <v>0</v>
      </c>
      <c r="P44" s="1290">
        <f t="shared" si="18"/>
        <v>0</v>
      </c>
      <c r="Q44" s="1291">
        <f t="shared" si="18"/>
        <v>0</v>
      </c>
      <c r="R44" s="1277"/>
      <c r="S44" s="1278"/>
      <c r="T44" s="1279"/>
      <c r="U44" s="1538"/>
      <c r="V44" s="304"/>
      <c r="W44" s="304"/>
      <c r="X44" s="454"/>
      <c r="Y44" s="413"/>
      <c r="Z44" s="413"/>
      <c r="AA44" s="304"/>
      <c r="AB44" s="464">
        <f>SUM(AB26:AB42)/D5</f>
        <v>7.3069043478260882</v>
      </c>
      <c r="AC44" s="1704" t="s">
        <v>254</v>
      </c>
      <c r="AD44" s="1704">
        <f t="shared" si="21"/>
        <v>0</v>
      </c>
      <c r="AE44" s="1704">
        <f t="shared" si="21"/>
        <v>0</v>
      </c>
      <c r="AF44" s="1704">
        <f t="shared" si="21"/>
        <v>0</v>
      </c>
      <c r="AG44" s="2536">
        <f t="shared" si="21"/>
        <v>0</v>
      </c>
      <c r="AH44" s="1704">
        <f t="shared" si="21"/>
        <v>0</v>
      </c>
      <c r="AI44" s="1704">
        <f t="shared" si="21"/>
        <v>0</v>
      </c>
      <c r="AJ44" s="2536">
        <f t="shared" si="21"/>
        <v>0</v>
      </c>
      <c r="AK44" s="1704">
        <f t="shared" si="21"/>
        <v>0</v>
      </c>
      <c r="AL44" s="1704">
        <f t="shared" si="21"/>
        <v>0</v>
      </c>
      <c r="AM44" s="2306" t="s">
        <v>1111</v>
      </c>
      <c r="AN44" s="3258" t="s">
        <v>1112</v>
      </c>
      <c r="AO44" s="3258"/>
      <c r="AP44" s="3258"/>
      <c r="AQ44" s="3258"/>
      <c r="AR44" s="3258"/>
      <c r="AS44" s="3258"/>
      <c r="AT44" s="3258"/>
      <c r="AU44" s="3258"/>
      <c r="AV44" s="3258"/>
      <c r="AW44" s="2307"/>
      <c r="AX44" s="1932"/>
    </row>
    <row r="45" spans="1:50" ht="16.5" customHeight="1">
      <c r="A45" s="2486"/>
      <c r="B45" s="1343"/>
      <c r="C45" s="1801" t="s">
        <v>4</v>
      </c>
      <c r="D45" s="2180">
        <f>D43*0.0200448</f>
        <v>6.3141120000000009E-2</v>
      </c>
      <c r="E45" s="3760" t="s">
        <v>1558</v>
      </c>
      <c r="F45" s="3742"/>
      <c r="G45" s="2268" t="s">
        <v>245</v>
      </c>
      <c r="H45" s="2117">
        <f>(SUM(F26:F42)+I44*D5)</f>
        <v>3111.57</v>
      </c>
      <c r="I45" s="2103">
        <f>Z46</f>
        <v>960.03180000000032</v>
      </c>
      <c r="J45" s="470" t="s">
        <v>229</v>
      </c>
      <c r="K45" s="472">
        <v>6.2</v>
      </c>
      <c r="L45" s="1277"/>
      <c r="M45" s="1278"/>
      <c r="N45" s="1279"/>
      <c r="O45" s="1289">
        <f t="shared" si="18"/>
        <v>0</v>
      </c>
      <c r="P45" s="1290">
        <f t="shared" si="18"/>
        <v>0</v>
      </c>
      <c r="Q45" s="1291">
        <f t="shared" si="18"/>
        <v>0</v>
      </c>
      <c r="R45" s="1277"/>
      <c r="S45" s="1278"/>
      <c r="T45" s="1279"/>
      <c r="U45" s="1538"/>
      <c r="V45" s="304"/>
      <c r="W45" s="304"/>
      <c r="X45" s="454"/>
      <c r="Y45" s="475" t="s">
        <v>1096</v>
      </c>
      <c r="Z45" s="476">
        <f>D43*D$5</f>
        <v>72.45</v>
      </c>
      <c r="AA45" s="454">
        <f>0.001*I44</f>
        <v>3.15E-3</v>
      </c>
      <c r="AB45" s="454"/>
      <c r="AC45" s="1704"/>
      <c r="AD45" s="1704">
        <f t="shared" si="21"/>
        <v>0</v>
      </c>
      <c r="AE45" s="1704">
        <f t="shared" si="21"/>
        <v>0</v>
      </c>
      <c r="AF45" s="1704">
        <f t="shared" si="21"/>
        <v>0</v>
      </c>
      <c r="AG45" s="2536">
        <f t="shared" si="21"/>
        <v>0</v>
      </c>
      <c r="AH45" s="1704">
        <f t="shared" si="21"/>
        <v>0</v>
      </c>
      <c r="AI45" s="1704">
        <f t="shared" si="21"/>
        <v>0</v>
      </c>
      <c r="AJ45" s="2536">
        <f t="shared" si="21"/>
        <v>0</v>
      </c>
      <c r="AK45" s="1704">
        <f t="shared" si="21"/>
        <v>0</v>
      </c>
      <c r="AL45" s="1704">
        <f t="shared" si="21"/>
        <v>0</v>
      </c>
      <c r="AM45" s="1254"/>
      <c r="AN45" s="3259" t="s">
        <v>1113</v>
      </c>
      <c r="AO45" s="3259"/>
      <c r="AP45" s="3259"/>
      <c r="AQ45" s="3259"/>
      <c r="AR45" s="3259"/>
      <c r="AS45" s="3259"/>
      <c r="AT45" s="3259"/>
      <c r="AU45" s="3259"/>
      <c r="AV45" s="3259"/>
      <c r="AW45" s="2307"/>
      <c r="AX45" s="1932"/>
    </row>
    <row r="46" spans="1:50" ht="16.5" customHeight="1">
      <c r="A46" s="2486"/>
      <c r="B46" s="1343"/>
      <c r="C46" s="1125"/>
      <c r="D46" s="2181">
        <f>D43*0.0167</f>
        <v>5.2604999999999999E-2</v>
      </c>
      <c r="E46" s="3742" t="s">
        <v>1559</v>
      </c>
      <c r="F46" s="3269"/>
      <c r="G46" s="2268" t="s">
        <v>248</v>
      </c>
      <c r="H46" s="2118">
        <f>SUM(H26:H43)/100</f>
        <v>1</v>
      </c>
      <c r="I46" s="2104">
        <f>SUM(I26:I43)/100</f>
        <v>0.99999999999999989</v>
      </c>
      <c r="J46" s="470" t="s">
        <v>230</v>
      </c>
      <c r="K46" s="472">
        <v>3.6</v>
      </c>
      <c r="L46" s="1277"/>
      <c r="M46" s="1278"/>
      <c r="N46" s="1279"/>
      <c r="O46" s="1289">
        <f t="shared" si="18"/>
        <v>0</v>
      </c>
      <c r="P46" s="1290">
        <f t="shared" si="18"/>
        <v>0</v>
      </c>
      <c r="Q46" s="1291">
        <f t="shared" si="18"/>
        <v>0</v>
      </c>
      <c r="R46" s="1277"/>
      <c r="S46" s="1278"/>
      <c r="T46" s="1279"/>
      <c r="U46" s="1538"/>
      <c r="V46" s="477" t="s">
        <v>193</v>
      </c>
      <c r="W46" s="478">
        <f>89.6/342</f>
        <v>0.26198830409356721</v>
      </c>
      <c r="X46" s="454"/>
      <c r="Y46" s="479" t="s">
        <v>1097</v>
      </c>
      <c r="Z46" s="480">
        <f>Z45+SUM(Z26:Z42)</f>
        <v>960.03180000000032</v>
      </c>
      <c r="AA46" s="454"/>
      <c r="AB46" s="454"/>
      <c r="AC46" s="376"/>
      <c r="AD46" s="1704">
        <f t="shared" si="21"/>
        <v>0</v>
      </c>
      <c r="AE46" s="1704">
        <f t="shared" si="21"/>
        <v>0</v>
      </c>
      <c r="AF46" s="1704">
        <f t="shared" si="21"/>
        <v>0</v>
      </c>
      <c r="AG46" s="2536">
        <f t="shared" si="21"/>
        <v>0</v>
      </c>
      <c r="AH46" s="1704">
        <f t="shared" si="21"/>
        <v>0</v>
      </c>
      <c r="AI46" s="1704">
        <f t="shared" si="21"/>
        <v>0</v>
      </c>
      <c r="AJ46" s="2536">
        <f t="shared" si="21"/>
        <v>0</v>
      </c>
      <c r="AK46" s="1704">
        <f t="shared" si="21"/>
        <v>0</v>
      </c>
      <c r="AL46" s="1704">
        <f t="shared" si="21"/>
        <v>0</v>
      </c>
      <c r="AM46" s="1420"/>
      <c r="AN46" s="3027" t="s">
        <v>1626</v>
      </c>
      <c r="AO46" s="3027"/>
      <c r="AP46" s="3027"/>
      <c r="AQ46" s="3027"/>
      <c r="AR46" s="3027"/>
      <c r="AS46" s="3027"/>
      <c r="AT46" s="3027"/>
      <c r="AU46" s="3027"/>
      <c r="AV46" s="3027"/>
      <c r="AW46" s="3027"/>
      <c r="AX46" s="1932"/>
    </row>
    <row r="47" spans="1:50" ht="16.5" customHeight="1">
      <c r="A47" s="2486"/>
      <c r="B47" s="1343"/>
      <c r="C47" s="1716" t="s">
        <v>1549</v>
      </c>
      <c r="D47" s="1826">
        <v>500</v>
      </c>
      <c r="E47" s="3743" t="str">
        <f>"ml bottle. use "&amp;FIXED((D43*D47/1000),3)&amp;"g or "&amp;FIXED((D43*D47/(1000*(P18))),3)&amp;" level 5ml tsp."</f>
        <v>ml bottle. use 1.575g or 0.500 level 5ml tsp.</v>
      </c>
      <c r="F47" s="3217"/>
      <c r="G47" s="3217"/>
      <c r="H47" s="3217"/>
      <c r="I47" s="3744"/>
      <c r="J47" s="470" t="s">
        <v>804</v>
      </c>
      <c r="K47" s="472">
        <v>4.7</v>
      </c>
      <c r="L47" s="1277"/>
      <c r="M47" s="1278"/>
      <c r="N47" s="1279"/>
      <c r="O47" s="1289">
        <f t="shared" si="18"/>
        <v>0</v>
      </c>
      <c r="P47" s="1290">
        <f t="shared" si="18"/>
        <v>0</v>
      </c>
      <c r="Q47" s="1291">
        <f t="shared" si="18"/>
        <v>0</v>
      </c>
      <c r="R47" s="1277"/>
      <c r="S47" s="1278"/>
      <c r="T47" s="1279"/>
      <c r="U47" s="1538"/>
      <c r="V47" s="481" t="s">
        <v>173</v>
      </c>
      <c r="W47" s="482" t="s">
        <v>195</v>
      </c>
      <c r="X47" s="483"/>
      <c r="Y47" s="484" t="s">
        <v>185</v>
      </c>
      <c r="Z47" s="476">
        <f>SUM(AA26:AA32)/D5</f>
        <v>23.08419704347827</v>
      </c>
      <c r="AA47" s="1704" t="s">
        <v>250</v>
      </c>
      <c r="AB47" s="1704" t="s">
        <v>251</v>
      </c>
      <c r="AC47" s="376"/>
      <c r="AD47" s="1704">
        <f t="shared" si="21"/>
        <v>0</v>
      </c>
      <c r="AE47" s="1704">
        <f t="shared" si="21"/>
        <v>0</v>
      </c>
      <c r="AF47" s="1704">
        <f t="shared" si="21"/>
        <v>0</v>
      </c>
      <c r="AG47" s="2536">
        <f t="shared" si="21"/>
        <v>0</v>
      </c>
      <c r="AH47" s="1704">
        <f t="shared" si="21"/>
        <v>0</v>
      </c>
      <c r="AI47" s="1704">
        <f t="shared" si="21"/>
        <v>0</v>
      </c>
      <c r="AJ47" s="2536">
        <f t="shared" si="21"/>
        <v>0</v>
      </c>
      <c r="AK47" s="1704">
        <f t="shared" si="21"/>
        <v>0</v>
      </c>
      <c r="AL47" s="1704">
        <f t="shared" si="21"/>
        <v>0</v>
      </c>
      <c r="AM47" s="2291"/>
      <c r="AN47" s="2307"/>
      <c r="AO47" s="2307"/>
      <c r="AP47" s="2307"/>
      <c r="AQ47" s="2307"/>
      <c r="AR47" s="2307"/>
      <c r="AS47" s="2307"/>
      <c r="AT47" s="2307"/>
      <c r="AU47" s="2307"/>
      <c r="AV47" s="2307"/>
      <c r="AW47" s="2307"/>
      <c r="AX47" s="1932"/>
    </row>
    <row r="48" spans="1:50" ht="16.5" customHeight="1">
      <c r="A48" s="2486"/>
      <c r="B48" s="1343"/>
      <c r="C48" s="1802" t="s">
        <v>1561</v>
      </c>
      <c r="D48" s="1827">
        <f>D43*$W$46+VLOOKUP($K$6,$V$49:$W$92,2)</f>
        <v>1.7022631578947367</v>
      </c>
      <c r="E48" s="3745" t="s">
        <v>1560</v>
      </c>
      <c r="F48" s="3746"/>
      <c r="G48" s="2182"/>
      <c r="H48" s="2116"/>
      <c r="I48" s="2175"/>
      <c r="J48" s="1795" t="s">
        <v>231</v>
      </c>
      <c r="K48" s="472">
        <v>4.5</v>
      </c>
      <c r="L48" s="1277"/>
      <c r="M48" s="1278"/>
      <c r="N48" s="1279"/>
      <c r="O48" s="1289">
        <f t="shared" si="18"/>
        <v>0</v>
      </c>
      <c r="P48" s="1290">
        <f t="shared" si="18"/>
        <v>0</v>
      </c>
      <c r="Q48" s="1291">
        <f t="shared" si="18"/>
        <v>0</v>
      </c>
      <c r="R48" s="1277"/>
      <c r="S48" s="1278"/>
      <c r="T48" s="1279"/>
      <c r="U48" s="1538"/>
      <c r="V48" s="486" t="s">
        <v>174</v>
      </c>
      <c r="W48" s="487" t="s">
        <v>175</v>
      </c>
      <c r="X48" s="419"/>
      <c r="Y48" s="484" t="s">
        <v>186</v>
      </c>
      <c r="Z48" s="488">
        <f>(1.07993715174291*(AA37+AA38+AA39+AA40+AA41+I44*(0.375*D5))/D5)</f>
        <v>9.262515304473224</v>
      </c>
      <c r="AA48" s="304" t="s">
        <v>1098</v>
      </c>
      <c r="AB48" s="489"/>
      <c r="AC48" s="376"/>
      <c r="AD48" s="1704">
        <f t="shared" si="21"/>
        <v>0</v>
      </c>
      <c r="AE48" s="1704">
        <f t="shared" si="21"/>
        <v>0</v>
      </c>
      <c r="AF48" s="1704">
        <f t="shared" si="21"/>
        <v>0</v>
      </c>
      <c r="AG48" s="2536">
        <f t="shared" si="21"/>
        <v>0</v>
      </c>
      <c r="AH48" s="1704">
        <f t="shared" si="21"/>
        <v>0</v>
      </c>
      <c r="AI48" s="1704">
        <f t="shared" si="21"/>
        <v>0</v>
      </c>
      <c r="AJ48" s="2536">
        <f t="shared" si="21"/>
        <v>0</v>
      </c>
      <c r="AK48" s="1704">
        <f t="shared" si="21"/>
        <v>0</v>
      </c>
      <c r="AL48" s="1704">
        <f t="shared" si="21"/>
        <v>0</v>
      </c>
      <c r="AM48" s="1545"/>
      <c r="AN48" s="1545"/>
      <c r="AO48" s="1545"/>
      <c r="AP48" s="1545"/>
      <c r="AQ48" s="1545"/>
      <c r="AR48" s="2321"/>
      <c r="AS48" s="1545"/>
      <c r="AT48" s="1545"/>
      <c r="AU48" s="2321"/>
      <c r="AV48" s="1545"/>
      <c r="AW48" s="1932"/>
      <c r="AX48" s="1932"/>
    </row>
    <row r="49" spans="1:50" ht="16.5" customHeight="1">
      <c r="A49" s="2486"/>
      <c r="B49" s="1805"/>
      <c r="C49" s="3370" t="s">
        <v>11</v>
      </c>
      <c r="D49" s="3370"/>
      <c r="E49" s="3370"/>
      <c r="F49" s="3747"/>
      <c r="G49" s="2182"/>
      <c r="H49" s="2175"/>
      <c r="I49" s="2175"/>
      <c r="J49" s="1795" t="s">
        <v>233</v>
      </c>
      <c r="K49" s="472">
        <v>11.2</v>
      </c>
      <c r="L49" s="1277"/>
      <c r="M49" s="1278"/>
      <c r="N49" s="1279"/>
      <c r="O49" s="1289">
        <f t="shared" si="18"/>
        <v>0</v>
      </c>
      <c r="P49" s="1290">
        <f t="shared" si="18"/>
        <v>0</v>
      </c>
      <c r="Q49" s="1291">
        <f t="shared" si="18"/>
        <v>0</v>
      </c>
      <c r="R49" s="1277"/>
      <c r="S49" s="1278"/>
      <c r="T49" s="1279"/>
      <c r="U49" s="1538"/>
      <c r="V49" s="2709">
        <v>0</v>
      </c>
      <c r="W49" s="2711">
        <v>1.7130000000000001</v>
      </c>
      <c r="X49" s="419"/>
      <c r="Y49" s="484" t="s">
        <v>1099</v>
      </c>
      <c r="Z49" s="488">
        <f>(1.07993715174291*(AA37+AA38+AA39+AA41)/D5)</f>
        <v>7.9868395439769131</v>
      </c>
      <c r="AA49" s="304" t="s">
        <v>8</v>
      </c>
      <c r="AB49" s="304"/>
      <c r="AC49" s="376"/>
      <c r="AD49" s="1704">
        <f t="shared" si="21"/>
        <v>0</v>
      </c>
      <c r="AE49" s="1704">
        <f t="shared" si="21"/>
        <v>0</v>
      </c>
      <c r="AF49" s="1704">
        <f t="shared" si="21"/>
        <v>0</v>
      </c>
      <c r="AG49" s="2536">
        <f t="shared" si="21"/>
        <v>0</v>
      </c>
      <c r="AH49" s="1704">
        <f t="shared" si="21"/>
        <v>0</v>
      </c>
      <c r="AI49" s="1704">
        <f t="shared" si="21"/>
        <v>0</v>
      </c>
      <c r="AJ49" s="2536">
        <f t="shared" si="21"/>
        <v>0</v>
      </c>
      <c r="AK49" s="1704">
        <f t="shared" si="21"/>
        <v>0</v>
      </c>
      <c r="AL49" s="1704">
        <f t="shared" si="21"/>
        <v>0</v>
      </c>
      <c r="AM49" s="1545"/>
      <c r="AN49" s="1545"/>
      <c r="AO49" s="1545"/>
      <c r="AP49" s="1545"/>
      <c r="AQ49" s="1545"/>
      <c r="AR49" s="2321"/>
      <c r="AS49" s="1545"/>
      <c r="AT49" s="1545"/>
      <c r="AU49" s="2321"/>
      <c r="AV49" s="1545"/>
      <c r="AW49" s="1932"/>
      <c r="AX49" s="1932"/>
    </row>
    <row r="50" spans="1:50" ht="16.5" customHeight="1">
      <c r="A50" s="2486"/>
      <c r="B50" s="1805"/>
      <c r="C50" s="1796" t="s">
        <v>246</v>
      </c>
      <c r="D50" s="1828" t="s">
        <v>247</v>
      </c>
      <c r="E50" s="1820"/>
      <c r="F50" s="1820"/>
      <c r="G50" s="1829"/>
      <c r="H50" s="1820"/>
      <c r="I50" s="1821"/>
      <c r="J50" s="470" t="s">
        <v>234</v>
      </c>
      <c r="K50" s="472">
        <v>5</v>
      </c>
      <c r="L50" s="1277"/>
      <c r="M50" s="1278"/>
      <c r="N50" s="1279"/>
      <c r="O50" s="1289">
        <f t="shared" si="18"/>
        <v>0</v>
      </c>
      <c r="P50" s="1290">
        <f t="shared" si="18"/>
        <v>0</v>
      </c>
      <c r="Q50" s="1291">
        <f t="shared" si="18"/>
        <v>0</v>
      </c>
      <c r="R50" s="1277"/>
      <c r="S50" s="1278"/>
      <c r="T50" s="1279"/>
      <c r="U50" s="1538"/>
      <c r="V50" s="2709">
        <v>1</v>
      </c>
      <c r="W50" s="2711">
        <v>1.6459999999999999</v>
      </c>
      <c r="X50" s="419"/>
      <c r="Y50" s="419"/>
      <c r="Z50" s="304" t="s">
        <v>373</v>
      </c>
      <c r="AA50" s="304"/>
      <c r="AB50" s="304"/>
      <c r="AC50" s="376"/>
      <c r="AD50" s="1704">
        <f t="shared" si="21"/>
        <v>0</v>
      </c>
      <c r="AE50" s="1704">
        <f t="shared" si="21"/>
        <v>0</v>
      </c>
      <c r="AF50" s="1704">
        <f t="shared" si="21"/>
        <v>0</v>
      </c>
      <c r="AG50" s="2536">
        <f t="shared" si="21"/>
        <v>0</v>
      </c>
      <c r="AH50" s="1704">
        <f t="shared" si="21"/>
        <v>0</v>
      </c>
      <c r="AI50" s="1704">
        <f t="shared" si="21"/>
        <v>0</v>
      </c>
      <c r="AJ50" s="2536">
        <f t="shared" si="21"/>
        <v>0</v>
      </c>
      <c r="AK50" s="1704">
        <f t="shared" si="21"/>
        <v>0</v>
      </c>
      <c r="AL50" s="1704">
        <f t="shared" si="21"/>
        <v>0</v>
      </c>
      <c r="AM50" s="1545"/>
      <c r="AN50" s="1545"/>
      <c r="AO50" s="1545"/>
      <c r="AP50" s="1545"/>
      <c r="AQ50" s="1545"/>
      <c r="AR50" s="2321"/>
      <c r="AS50" s="1545"/>
      <c r="AT50" s="1545"/>
      <c r="AU50" s="2321"/>
      <c r="AV50" s="1545"/>
      <c r="AW50" s="1932"/>
      <c r="AX50" s="1932"/>
    </row>
    <row r="51" spans="1:50" ht="16.5" customHeight="1">
      <c r="A51" s="2486"/>
      <c r="B51" s="1819"/>
      <c r="C51" s="3239" t="s">
        <v>1506</v>
      </c>
      <c r="D51" s="3239"/>
      <c r="E51" s="3239"/>
      <c r="F51" s="3239"/>
      <c r="G51" s="3741"/>
      <c r="H51" s="1820"/>
      <c r="I51" s="1821"/>
      <c r="J51" s="1793" t="s">
        <v>235</v>
      </c>
      <c r="K51" s="472">
        <v>6.3</v>
      </c>
      <c r="L51" s="1277"/>
      <c r="M51" s="1278"/>
      <c r="N51" s="1279"/>
      <c r="O51" s="1289">
        <f t="shared" si="18"/>
        <v>0</v>
      </c>
      <c r="P51" s="1290">
        <f t="shared" si="18"/>
        <v>0</v>
      </c>
      <c r="Q51" s="1291">
        <f t="shared" si="18"/>
        <v>0</v>
      </c>
      <c r="R51" s="1277"/>
      <c r="S51" s="1278"/>
      <c r="T51" s="1279"/>
      <c r="U51" s="1538"/>
      <c r="V51" s="2709">
        <v>2</v>
      </c>
      <c r="W51" s="2712">
        <v>1.5840000000000001</v>
      </c>
      <c r="X51" s="419"/>
      <c r="Y51" s="490" t="s">
        <v>49</v>
      </c>
      <c r="Z51" s="476">
        <f>(Z45+(SUM(Z26:Z42)))/D5</f>
        <v>41.740513043478273</v>
      </c>
      <c r="AA51" s="491" t="s">
        <v>250</v>
      </c>
      <c r="AB51" s="1704" t="s">
        <v>253</v>
      </c>
      <c r="AC51" s="304"/>
      <c r="AD51" s="1704">
        <f t="shared" si="21"/>
        <v>0</v>
      </c>
      <c r="AE51" s="1704">
        <f t="shared" si="21"/>
        <v>0</v>
      </c>
      <c r="AF51" s="1704">
        <f t="shared" si="21"/>
        <v>0</v>
      </c>
      <c r="AG51" s="2536">
        <f t="shared" si="21"/>
        <v>0</v>
      </c>
      <c r="AH51" s="1704">
        <f t="shared" si="21"/>
        <v>0</v>
      </c>
      <c r="AI51" s="1704">
        <f t="shared" si="21"/>
        <v>0</v>
      </c>
      <c r="AJ51" s="2536">
        <f t="shared" si="21"/>
        <v>0</v>
      </c>
      <c r="AK51" s="1704">
        <f t="shared" si="21"/>
        <v>0</v>
      </c>
      <c r="AL51" s="1704">
        <f t="shared" si="21"/>
        <v>0</v>
      </c>
      <c r="AM51" s="1545"/>
      <c r="AN51" s="1545"/>
      <c r="AO51" s="1545"/>
      <c r="AP51" s="1545"/>
      <c r="AQ51" s="1545"/>
      <c r="AR51" s="2321"/>
      <c r="AS51" s="1545"/>
      <c r="AT51" s="1545"/>
      <c r="AU51" s="2321"/>
      <c r="AV51" s="1545"/>
      <c r="AW51" s="1932"/>
      <c r="AX51" s="1932"/>
    </row>
    <row r="52" spans="1:50" ht="16.5" customHeight="1">
      <c r="A52" s="2486"/>
      <c r="B52" s="1822"/>
      <c r="C52" s="3247" t="str">
        <f>"Total ingredient wt = "&amp;1*FIXED((SUM(F26:F42)+Z45),0)&amp;"g, sugar wt  = "&amp;1*FIXED((Z46),0)&amp;"g  = "&amp;FIXED((100*Z46/SUM(F26:F42)),0)&amp;"%"</f>
        <v>Total ingredient wt = 3112g, sugar wt  = 960g  = 32%</v>
      </c>
      <c r="D52" s="3247"/>
      <c r="E52" s="3247"/>
      <c r="F52" s="1803"/>
      <c r="G52" s="1830"/>
      <c r="H52" s="1823"/>
      <c r="I52" s="1824"/>
      <c r="J52" s="1793" t="s">
        <v>805</v>
      </c>
      <c r="K52" s="472"/>
      <c r="L52" s="1277"/>
      <c r="M52" s="1278"/>
      <c r="N52" s="1279"/>
      <c r="O52" s="1289">
        <f t="shared" si="18"/>
        <v>0</v>
      </c>
      <c r="P52" s="1290">
        <f t="shared" si="18"/>
        <v>0</v>
      </c>
      <c r="Q52" s="1291">
        <f t="shared" si="18"/>
        <v>0</v>
      </c>
      <c r="R52" s="1277"/>
      <c r="S52" s="1278"/>
      <c r="T52" s="1279"/>
      <c r="U52" s="1538"/>
      <c r="V52" s="2709">
        <v>3</v>
      </c>
      <c r="W52" s="2712">
        <v>1.53</v>
      </c>
      <c r="X52" s="483"/>
      <c r="Y52" s="490" t="s">
        <v>47</v>
      </c>
      <c r="Z52" s="476">
        <f>(SUM(Z26:Z42))/D5</f>
        <v>38.590513043478275</v>
      </c>
      <c r="AA52" s="491" t="s">
        <v>250</v>
      </c>
      <c r="AB52" s="1704" t="s">
        <v>251</v>
      </c>
      <c r="AC52" s="270"/>
      <c r="AD52" s="1704">
        <f t="shared" si="21"/>
        <v>0</v>
      </c>
      <c r="AE52" s="1704">
        <f t="shared" si="21"/>
        <v>0</v>
      </c>
      <c r="AF52" s="1704">
        <f t="shared" si="21"/>
        <v>0</v>
      </c>
      <c r="AG52" s="2536">
        <f t="shared" si="21"/>
        <v>0</v>
      </c>
      <c r="AH52" s="1704">
        <f t="shared" si="21"/>
        <v>0</v>
      </c>
      <c r="AI52" s="1704">
        <f t="shared" si="21"/>
        <v>0</v>
      </c>
      <c r="AJ52" s="2536">
        <f t="shared" si="21"/>
        <v>0</v>
      </c>
      <c r="AK52" s="1704">
        <f t="shared" si="21"/>
        <v>0</v>
      </c>
      <c r="AL52" s="1704">
        <f t="shared" si="21"/>
        <v>0</v>
      </c>
      <c r="AM52" s="1545"/>
      <c r="AN52" s="1545"/>
      <c r="AO52" s="1545"/>
      <c r="AP52" s="1545"/>
      <c r="AQ52" s="1545"/>
      <c r="AR52" s="2321"/>
      <c r="AS52" s="1545"/>
      <c r="AT52" s="1545"/>
      <c r="AU52" s="2321"/>
      <c r="AV52" s="1545"/>
      <c r="AW52" s="1932"/>
      <c r="AX52" s="1932"/>
    </row>
    <row r="53" spans="1:50" ht="16.5" customHeight="1">
      <c r="A53" s="2486"/>
      <c r="B53" s="1545"/>
      <c r="C53" s="1545"/>
      <c r="D53" s="1545"/>
      <c r="E53" s="1545"/>
      <c r="F53" s="1545"/>
      <c r="G53" s="1545"/>
      <c r="H53" s="1768"/>
      <c r="I53" s="1768"/>
      <c r="J53" s="1793" t="s">
        <v>961</v>
      </c>
      <c r="K53" s="472"/>
      <c r="L53" s="1277"/>
      <c r="M53" s="1278"/>
      <c r="N53" s="1279"/>
      <c r="O53" s="1289">
        <f t="shared" si="18"/>
        <v>0</v>
      </c>
      <c r="P53" s="1290">
        <f t="shared" si="18"/>
        <v>0</v>
      </c>
      <c r="Q53" s="1291">
        <f t="shared" si="18"/>
        <v>0</v>
      </c>
      <c r="R53" s="1277"/>
      <c r="S53" s="1278"/>
      <c r="T53" s="1279"/>
      <c r="U53" s="1538"/>
      <c r="V53" s="2709">
        <v>4</v>
      </c>
      <c r="W53" s="2712">
        <v>1.4730000000000001</v>
      </c>
      <c r="X53" s="489"/>
      <c r="Y53" s="490" t="s">
        <v>48</v>
      </c>
      <c r="Z53" s="476">
        <f>(Z51-Z45/D5-Z47-Z49)</f>
        <v>7.5194764560230922</v>
      </c>
      <c r="AA53" s="491" t="s">
        <v>252</v>
      </c>
      <c r="AB53" s="1704" t="s">
        <v>251</v>
      </c>
      <c r="AC53" s="376"/>
      <c r="AD53" s="1704">
        <f t="shared" si="21"/>
        <v>0</v>
      </c>
      <c r="AE53" s="1704">
        <f t="shared" si="21"/>
        <v>0</v>
      </c>
      <c r="AF53" s="1704">
        <f t="shared" si="21"/>
        <v>0</v>
      </c>
      <c r="AG53" s="2536">
        <f t="shared" si="21"/>
        <v>0</v>
      </c>
      <c r="AH53" s="1704">
        <f t="shared" si="21"/>
        <v>0</v>
      </c>
      <c r="AI53" s="1704">
        <f t="shared" si="21"/>
        <v>0</v>
      </c>
      <c r="AJ53" s="2536">
        <f t="shared" si="21"/>
        <v>0</v>
      </c>
      <c r="AK53" s="1704">
        <f t="shared" si="21"/>
        <v>0</v>
      </c>
      <c r="AL53" s="1704">
        <f t="shared" si="21"/>
        <v>0</v>
      </c>
      <c r="AM53" s="1545"/>
      <c r="AN53" s="1545"/>
      <c r="AO53" s="1545"/>
      <c r="AP53" s="1545"/>
      <c r="AQ53" s="1545"/>
      <c r="AR53" s="2321"/>
      <c r="AS53" s="1545"/>
      <c r="AT53" s="1545"/>
      <c r="AU53" s="2321"/>
      <c r="AV53" s="1545"/>
      <c r="AW53" s="1932"/>
      <c r="AX53" s="1932"/>
    </row>
    <row r="54" spans="1:50" ht="16.5" customHeight="1">
      <c r="A54" s="2486"/>
      <c r="B54" s="3751" t="s">
        <v>959</v>
      </c>
      <c r="C54" s="3751"/>
      <c r="D54" s="2183"/>
      <c r="E54" s="2183"/>
      <c r="F54" s="2183"/>
      <c r="G54" s="1545"/>
      <c r="H54" s="1768"/>
      <c r="I54" s="1768"/>
      <c r="J54" s="1793" t="s">
        <v>237</v>
      </c>
      <c r="K54" s="472"/>
      <c r="L54" s="1277"/>
      <c r="M54" s="1278"/>
      <c r="N54" s="1279"/>
      <c r="O54" s="1289">
        <f t="shared" si="18"/>
        <v>0</v>
      </c>
      <c r="P54" s="1290">
        <f t="shared" si="18"/>
        <v>0</v>
      </c>
      <c r="Q54" s="1291">
        <f t="shared" si="18"/>
        <v>0</v>
      </c>
      <c r="R54" s="1277"/>
      <c r="S54" s="1278"/>
      <c r="T54" s="1279"/>
      <c r="U54" s="1538"/>
      <c r="V54" s="2709">
        <v>5</v>
      </c>
      <c r="W54" s="2712">
        <v>1.4239999999999999</v>
      </c>
      <c r="X54" s="304"/>
      <c r="Y54" s="490" t="s">
        <v>50</v>
      </c>
      <c r="Z54" s="476">
        <f>(Z51-Z47-Z48)</f>
        <v>9.3938006955267799</v>
      </c>
      <c r="AA54" s="491" t="s">
        <v>252</v>
      </c>
      <c r="AB54" s="1704" t="s">
        <v>253</v>
      </c>
      <c r="AC54" s="304"/>
      <c r="AD54" s="1704">
        <f t="shared" si="21"/>
        <v>0</v>
      </c>
      <c r="AE54" s="1704">
        <f t="shared" si="21"/>
        <v>0</v>
      </c>
      <c r="AF54" s="1704">
        <f t="shared" si="21"/>
        <v>0</v>
      </c>
      <c r="AG54" s="2536">
        <f t="shared" si="21"/>
        <v>0</v>
      </c>
      <c r="AH54" s="1704">
        <f t="shared" si="21"/>
        <v>0</v>
      </c>
      <c r="AI54" s="1704">
        <f t="shared" si="21"/>
        <v>0</v>
      </c>
      <c r="AJ54" s="2536">
        <f t="shared" si="21"/>
        <v>0</v>
      </c>
      <c r="AK54" s="1704">
        <f t="shared" si="21"/>
        <v>0</v>
      </c>
      <c r="AL54" s="1704">
        <f t="shared" si="21"/>
        <v>0</v>
      </c>
      <c r="AM54" s="1545"/>
      <c r="AN54" s="1545"/>
      <c r="AO54" s="1545"/>
      <c r="AP54" s="1545"/>
      <c r="AQ54" s="1545"/>
      <c r="AR54" s="2321"/>
      <c r="AS54" s="1545"/>
      <c r="AT54" s="1545"/>
      <c r="AU54" s="2321"/>
      <c r="AV54" s="1545"/>
      <c r="AW54" s="1932"/>
      <c r="AX54" s="1932"/>
    </row>
    <row r="55" spans="1:50" ht="16.5" customHeight="1">
      <c r="A55" s="2486"/>
      <c r="B55" s="3752" t="s">
        <v>1100</v>
      </c>
      <c r="C55" s="3752"/>
      <c r="D55" s="3752"/>
      <c r="E55" s="3752"/>
      <c r="F55" s="3752"/>
      <c r="G55" s="1545"/>
      <c r="H55" s="1768"/>
      <c r="I55" s="1768"/>
      <c r="J55" s="1794" t="s">
        <v>236</v>
      </c>
      <c r="K55" s="492"/>
      <c r="L55" s="1280"/>
      <c r="M55" s="1281"/>
      <c r="N55" s="1282"/>
      <c r="O55" s="1292">
        <f t="shared" si="18"/>
        <v>0</v>
      </c>
      <c r="P55" s="1293">
        <f t="shared" si="18"/>
        <v>0</v>
      </c>
      <c r="Q55" s="1294">
        <f t="shared" si="18"/>
        <v>0</v>
      </c>
      <c r="R55" s="1280"/>
      <c r="S55" s="1281"/>
      <c r="T55" s="1282"/>
      <c r="U55" s="1538"/>
      <c r="V55" s="2709">
        <v>6</v>
      </c>
      <c r="W55" s="2712">
        <v>1.377</v>
      </c>
      <c r="X55" s="413"/>
      <c r="Y55" s="413"/>
      <c r="Z55" s="413"/>
      <c r="AA55" s="413"/>
      <c r="AB55" s="413"/>
      <c r="AC55" s="413"/>
      <c r="AD55" s="1704">
        <f t="shared" si="21"/>
        <v>0</v>
      </c>
      <c r="AE55" s="1704">
        <f t="shared" si="21"/>
        <v>0</v>
      </c>
      <c r="AF55" s="1704">
        <f t="shared" si="21"/>
        <v>0</v>
      </c>
      <c r="AG55" s="2536">
        <f t="shared" si="21"/>
        <v>0</v>
      </c>
      <c r="AH55" s="1704">
        <f t="shared" si="21"/>
        <v>0</v>
      </c>
      <c r="AI55" s="1704">
        <f t="shared" si="21"/>
        <v>0</v>
      </c>
      <c r="AJ55" s="2536">
        <f t="shared" si="21"/>
        <v>0</v>
      </c>
      <c r="AK55" s="1704">
        <f t="shared" si="21"/>
        <v>0</v>
      </c>
      <c r="AL55" s="1704">
        <f t="shared" si="21"/>
        <v>0</v>
      </c>
      <c r="AM55" s="1545"/>
      <c r="AN55" s="1545"/>
      <c r="AO55" s="1545"/>
      <c r="AP55" s="1545"/>
      <c r="AQ55" s="1545"/>
      <c r="AR55" s="2321"/>
      <c r="AS55" s="1545"/>
      <c r="AT55" s="1545"/>
      <c r="AU55" s="2321"/>
      <c r="AV55" s="1545"/>
      <c r="AW55" s="1932"/>
      <c r="AX55" s="1932"/>
    </row>
    <row r="56" spans="1:50" ht="16.5" customHeight="1">
      <c r="A56" s="2486"/>
      <c r="B56" s="1545"/>
      <c r="C56" s="1545"/>
      <c r="D56" s="1545"/>
      <c r="E56" s="1545"/>
      <c r="F56" s="1545"/>
      <c r="G56" s="1713"/>
      <c r="H56" s="1713"/>
      <c r="I56" s="1713"/>
      <c r="J56" s="3749" t="s">
        <v>795</v>
      </c>
      <c r="K56" s="3750"/>
      <c r="L56" s="1286"/>
      <c r="M56" s="3694" t="str">
        <f>"ml = "&amp;FIXED(L56/5)&amp;" tsp (5ml)."</f>
        <v>ml = 0.00 tsp (5ml).</v>
      </c>
      <c r="N56" s="3695"/>
      <c r="O56" s="1295">
        <f>L56</f>
        <v>0</v>
      </c>
      <c r="P56" s="3696" t="str">
        <f>"ml = "&amp;FIXED(O56/5)&amp;" tsp (5ml)."</f>
        <v>ml = 0.00 tsp (5ml).</v>
      </c>
      <c r="Q56" s="3696"/>
      <c r="R56" s="1287">
        <f>L56</f>
        <v>0</v>
      </c>
      <c r="S56" s="3524" t="str">
        <f>"ml = "&amp;FIXED(R56/5)&amp;" tsp (5ml)."</f>
        <v>ml = 0.00 tsp (5ml).</v>
      </c>
      <c r="T56" s="3524"/>
      <c r="U56" s="1538"/>
      <c r="V56" s="2709">
        <v>7</v>
      </c>
      <c r="W56" s="2712">
        <v>1.331</v>
      </c>
      <c r="X56" s="464"/>
      <c r="Y56" s="1704"/>
      <c r="Z56" s="454"/>
      <c r="AA56" s="1704"/>
      <c r="AB56" s="1704"/>
      <c r="AC56" s="493" t="s">
        <v>147</v>
      </c>
      <c r="AD56" s="1704">
        <f t="shared" ref="AD56:AL56" si="33">28.35*SUM(AD29:AD55)</f>
        <v>343.74375000000003</v>
      </c>
      <c r="AE56" s="1704">
        <f t="shared" si="33"/>
        <v>0</v>
      </c>
      <c r="AF56" s="1704">
        <f t="shared" si="33"/>
        <v>0</v>
      </c>
      <c r="AG56" s="2536">
        <f t="shared" si="33"/>
        <v>343.74375000000003</v>
      </c>
      <c r="AH56" s="1704">
        <f t="shared" si="33"/>
        <v>0</v>
      </c>
      <c r="AI56" s="1704">
        <f t="shared" si="33"/>
        <v>0</v>
      </c>
      <c r="AJ56" s="2536">
        <f t="shared" si="33"/>
        <v>191.36250000000004</v>
      </c>
      <c r="AK56" s="1704">
        <f t="shared" si="33"/>
        <v>0</v>
      </c>
      <c r="AL56" s="1704">
        <f t="shared" si="33"/>
        <v>0</v>
      </c>
      <c r="AM56" s="1545"/>
      <c r="AN56" s="1545"/>
      <c r="AO56" s="1545"/>
      <c r="AP56" s="1545"/>
      <c r="AQ56" s="1545"/>
      <c r="AR56" s="2321"/>
      <c r="AS56" s="1545"/>
      <c r="AT56" s="1545"/>
      <c r="AU56" s="2321"/>
      <c r="AV56" s="1545"/>
      <c r="AW56" s="1932"/>
      <c r="AX56" s="1932"/>
    </row>
    <row r="57" spans="1:50" ht="16.5" customHeight="1">
      <c r="A57" s="2486"/>
      <c r="B57" s="1545"/>
      <c r="C57" s="1545"/>
      <c r="D57" s="1545"/>
      <c r="E57" s="1545"/>
      <c r="F57" s="1545"/>
      <c r="G57" s="1804"/>
      <c r="H57" s="1714"/>
      <c r="I57" s="1713"/>
      <c r="J57" s="3697" t="s">
        <v>1576</v>
      </c>
      <c r="K57" s="3698"/>
      <c r="L57" s="3698"/>
      <c r="M57" s="3698"/>
      <c r="N57" s="3698"/>
      <c r="O57" s="3699" t="s">
        <v>1101</v>
      </c>
      <c r="P57" s="3699"/>
      <c r="Q57" s="3699"/>
      <c r="R57" s="3699"/>
      <c r="S57" s="3699"/>
      <c r="T57" s="3700"/>
      <c r="U57" s="1538"/>
      <c r="V57" s="2709">
        <v>8</v>
      </c>
      <c r="W57" s="2712">
        <v>1.282</v>
      </c>
      <c r="X57" s="464"/>
      <c r="Y57" s="1704"/>
      <c r="Z57" s="454"/>
      <c r="AA57" s="1704"/>
      <c r="AB57" s="1704"/>
      <c r="AC57" s="490" t="s">
        <v>162</v>
      </c>
      <c r="AD57" s="1704">
        <f>28.35*SUM(L29:N55)</f>
        <v>54.999000000000002</v>
      </c>
      <c r="AE57" s="376"/>
      <c r="AF57" s="376"/>
      <c r="AG57" s="2536">
        <f>28.35*SUM(O29:Q55)</f>
        <v>54.999000000000002</v>
      </c>
      <c r="AH57" s="1704"/>
      <c r="AI57" s="1704"/>
      <c r="AJ57" s="2536">
        <f>28.35*SUM(R29:T55)</f>
        <v>30.618000000000002</v>
      </c>
      <c r="AK57" s="304"/>
      <c r="AL57" s="304"/>
      <c r="AM57" s="276"/>
      <c r="AN57" s="276"/>
      <c r="AO57" s="276"/>
      <c r="AP57" s="276"/>
      <c r="AQ57" s="276"/>
      <c r="AR57" s="2184"/>
      <c r="AS57" s="276"/>
      <c r="AT57" s="276"/>
      <c r="AU57" s="2184"/>
      <c r="AV57" s="276"/>
      <c r="AW57" s="1932"/>
      <c r="AX57" s="1932"/>
    </row>
    <row r="58" spans="1:50" ht="17.25" customHeight="1">
      <c r="A58" s="2486"/>
      <c r="B58" s="1715"/>
      <c r="C58" s="1545"/>
      <c r="D58" s="1545"/>
      <c r="E58" s="1545"/>
      <c r="F58" s="1545"/>
      <c r="G58" s="1804"/>
      <c r="H58" s="1714"/>
      <c r="I58" s="1545"/>
      <c r="J58" s="3728" t="s">
        <v>113</v>
      </c>
      <c r="K58" s="3729"/>
      <c r="L58" s="1999">
        <v>11</v>
      </c>
      <c r="M58" s="3730" t="s">
        <v>1633</v>
      </c>
      <c r="N58" s="3731"/>
      <c r="O58" s="2000">
        <v>13.5</v>
      </c>
      <c r="P58" s="3734" t="s">
        <v>1634</v>
      </c>
      <c r="Q58" s="3735"/>
      <c r="R58" s="2001">
        <v>3</v>
      </c>
      <c r="S58" s="3509" t="s">
        <v>1635</v>
      </c>
      <c r="T58" s="3738"/>
      <c r="U58" s="1538"/>
      <c r="V58" s="2709">
        <v>9</v>
      </c>
      <c r="W58" s="2712">
        <v>1.2370000000000001</v>
      </c>
      <c r="X58" s="464"/>
      <c r="Y58" s="1704">
        <f>23*3.15</f>
        <v>72.45</v>
      </c>
      <c r="Z58" s="454"/>
      <c r="AA58" s="1704"/>
      <c r="AB58" s="1704"/>
      <c r="AC58" s="304"/>
      <c r="AD58" s="304"/>
      <c r="AE58" s="304"/>
      <c r="AF58" s="304"/>
      <c r="AG58" s="304"/>
      <c r="AH58" s="304"/>
      <c r="AI58" s="304"/>
      <c r="AJ58" s="2536"/>
      <c r="AK58" s="304"/>
      <c r="AL58" s="304"/>
      <c r="AM58" s="494" t="s">
        <v>1050</v>
      </c>
      <c r="AN58" s="3286" t="s">
        <v>1051</v>
      </c>
      <c r="AO58" s="3287"/>
      <c r="AP58" s="3288"/>
      <c r="AQ58" s="3297" t="s">
        <v>1052</v>
      </c>
      <c r="AR58" s="3298"/>
      <c r="AS58" s="3299"/>
      <c r="AT58" s="3300" t="s">
        <v>325</v>
      </c>
      <c r="AU58" s="3301"/>
      <c r="AV58" s="3302"/>
      <c r="AW58" s="1932"/>
      <c r="AX58" s="1932"/>
    </row>
    <row r="59" spans="1:50" ht="17.25" customHeight="1">
      <c r="A59" s="2486"/>
      <c r="B59" s="1713"/>
      <c r="C59" s="1545"/>
      <c r="D59" s="1545"/>
      <c r="E59" s="1545"/>
      <c r="F59" s="1545"/>
      <c r="G59" s="1804"/>
      <c r="H59" s="1714"/>
      <c r="I59" s="1714"/>
      <c r="J59" s="3748" t="s">
        <v>1102</v>
      </c>
      <c r="K59" s="3748"/>
      <c r="L59" s="2008">
        <f>1000+SUM($Z26:$Z34)/$L65</f>
        <v>1065.5533791180101</v>
      </c>
      <c r="M59" s="3732"/>
      <c r="N59" s="3733"/>
      <c r="O59" s="2008">
        <f>1000+SUM($Z26:$Z41)/$O65</f>
        <v>1066.0157481579956</v>
      </c>
      <c r="P59" s="3736"/>
      <c r="Q59" s="3737"/>
      <c r="R59" s="1991">
        <v>1000</v>
      </c>
      <c r="S59" s="3739"/>
      <c r="T59" s="3740"/>
      <c r="U59" s="1538"/>
      <c r="V59" s="2709">
        <v>10</v>
      </c>
      <c r="W59" s="2712">
        <v>1.194</v>
      </c>
      <c r="X59" s="464"/>
      <c r="Y59" s="1704"/>
      <c r="Z59" s="454"/>
      <c r="AA59" s="1704"/>
      <c r="AB59" s="1704"/>
      <c r="AC59" s="376"/>
      <c r="AD59" s="1370">
        <f>AD61-M60</f>
        <v>780</v>
      </c>
      <c r="AE59" s="1370"/>
      <c r="AF59" s="1367"/>
      <c r="AG59" s="1370">
        <f>AG61-P60</f>
        <v>780</v>
      </c>
      <c r="AH59" s="1367"/>
      <c r="AI59" s="1367"/>
      <c r="AJ59" s="1370">
        <f>AJ61-S60</f>
        <v>780</v>
      </c>
      <c r="AK59" s="376"/>
      <c r="AL59" s="376"/>
      <c r="AM59" s="495" t="s">
        <v>1053</v>
      </c>
      <c r="AN59" s="1315">
        <v>12</v>
      </c>
      <c r="AO59" s="1091" t="s">
        <v>1054</v>
      </c>
      <c r="AP59" s="1316">
        <v>30</v>
      </c>
      <c r="AQ59" s="496">
        <f>AN59</f>
        <v>12</v>
      </c>
      <c r="AR59" s="1091" t="s">
        <v>1054</v>
      </c>
      <c r="AS59" s="2099">
        <f>AP59</f>
        <v>30</v>
      </c>
      <c r="AT59" s="1315">
        <f>AQ59</f>
        <v>12</v>
      </c>
      <c r="AU59" s="2095" t="s">
        <v>1054</v>
      </c>
      <c r="AV59" s="1316">
        <f>AP59</f>
        <v>30</v>
      </c>
      <c r="AW59" s="1932"/>
      <c r="AX59" s="1932"/>
    </row>
    <row r="60" spans="1:50" ht="18.75" customHeight="1">
      <c r="A60" s="2486"/>
      <c r="B60" s="1713"/>
      <c r="C60" s="1545"/>
      <c r="D60" s="1545"/>
      <c r="E60" s="1545"/>
      <c r="F60" s="1545"/>
      <c r="G60" s="1804"/>
      <c r="H60" s="1714"/>
      <c r="I60" s="2185"/>
      <c r="J60" s="3722" t="s">
        <v>114</v>
      </c>
      <c r="K60" s="3722"/>
      <c r="L60" s="2002">
        <v>60</v>
      </c>
      <c r="M60" s="2003">
        <v>30</v>
      </c>
      <c r="N60" s="2004">
        <v>15</v>
      </c>
      <c r="O60" s="2005">
        <f>L60</f>
        <v>60</v>
      </c>
      <c r="P60" s="2006">
        <f>M60</f>
        <v>30</v>
      </c>
      <c r="Q60" s="2007">
        <f>N60</f>
        <v>15</v>
      </c>
      <c r="R60" s="1997">
        <f>L60</f>
        <v>60</v>
      </c>
      <c r="S60" s="1998">
        <f>P60</f>
        <v>30</v>
      </c>
      <c r="T60" s="1998">
        <f>Q60</f>
        <v>15</v>
      </c>
      <c r="U60" s="1538"/>
      <c r="V60" s="2709">
        <v>11</v>
      </c>
      <c r="W60" s="2712">
        <v>1.1539999999999999</v>
      </c>
      <c r="X60" s="464"/>
      <c r="Y60" s="1704"/>
      <c r="Z60" s="454"/>
      <c r="AA60" s="1704"/>
      <c r="AB60" s="1704"/>
      <c r="AC60" s="376"/>
      <c r="AD60" s="1370">
        <f>AD61-N60</f>
        <v>795</v>
      </c>
      <c r="AE60" s="1370"/>
      <c r="AF60" s="1367"/>
      <c r="AG60" s="1370">
        <f>AG61-Q60</f>
        <v>795</v>
      </c>
      <c r="AH60" s="1367"/>
      <c r="AI60" s="1367"/>
      <c r="AJ60" s="1370">
        <f>AJ61-T60</f>
        <v>795</v>
      </c>
      <c r="AK60" s="376"/>
      <c r="AL60" s="376"/>
      <c r="AM60" s="497" t="s">
        <v>1055</v>
      </c>
      <c r="AN60" s="498">
        <f>INT(AD59/60)</f>
        <v>13</v>
      </c>
      <c r="AO60" s="1094" t="s">
        <v>1054</v>
      </c>
      <c r="AP60" s="499">
        <f>60*(MOD(AD59/60,60)-AN60)</f>
        <v>0</v>
      </c>
      <c r="AQ60" s="498">
        <f>INT(AG59/60)</f>
        <v>13</v>
      </c>
      <c r="AR60" s="1094" t="s">
        <v>1054</v>
      </c>
      <c r="AS60" s="499">
        <f>60*(MOD(AG59/60,60)-AQ60)</f>
        <v>0</v>
      </c>
      <c r="AT60" s="498">
        <f>INT(AJ59/60)</f>
        <v>13</v>
      </c>
      <c r="AU60" s="2096" t="s">
        <v>1054</v>
      </c>
      <c r="AV60" s="499">
        <f>60*(MOD(AJ59/60,60)-AT60)</f>
        <v>0</v>
      </c>
      <c r="AW60" s="1932"/>
      <c r="AX60" s="1932"/>
    </row>
    <row r="61" spans="1:50" ht="17.25" customHeight="1">
      <c r="A61" s="2486"/>
      <c r="B61" s="1713"/>
      <c r="C61" s="1545"/>
      <c r="D61" s="1545"/>
      <c r="E61" s="1545"/>
      <c r="F61" s="1545"/>
      <c r="G61" s="1804"/>
      <c r="H61" s="1714"/>
      <c r="I61" s="1714"/>
      <c r="J61" s="3723" t="s">
        <v>1103</v>
      </c>
      <c r="K61" s="3723"/>
      <c r="L61" s="1584">
        <f>L62*AD56/($L65*10)</f>
        <v>62.993063704723163</v>
      </c>
      <c r="M61" s="1585">
        <f>M62*AE56/($L65*10)</f>
        <v>0</v>
      </c>
      <c r="N61" s="1586">
        <f>N62*AF56/($L65*10)</f>
        <v>0</v>
      </c>
      <c r="O61" s="1544">
        <f>O62*AG56/($O65*10)</f>
        <v>51.067315648632132</v>
      </c>
      <c r="P61" s="1585">
        <f>P62*AH56/($O65*10)</f>
        <v>0</v>
      </c>
      <c r="Q61" s="1587">
        <f>Q62*AI56/($O65*10)</f>
        <v>0</v>
      </c>
      <c r="R61" s="1611">
        <f>R62*AJ56/($R65*10)</f>
        <v>232.98353383794077</v>
      </c>
      <c r="S61" s="1612">
        <f>S62*AK56/($R65*10)</f>
        <v>0</v>
      </c>
      <c r="T61" s="1612">
        <f>T62*AL56/($R65*10)</f>
        <v>0</v>
      </c>
      <c r="U61" s="1538"/>
      <c r="V61" s="2709">
        <v>12</v>
      </c>
      <c r="W61" s="2712">
        <v>1.117</v>
      </c>
      <c r="X61" s="376"/>
      <c r="Y61" s="376"/>
      <c r="Z61" s="473"/>
      <c r="AA61" s="473"/>
      <c r="AB61" s="376"/>
      <c r="AC61" s="376"/>
      <c r="AD61" s="1370">
        <f>AO64+L60</f>
        <v>810</v>
      </c>
      <c r="AE61" s="1370"/>
      <c r="AF61" s="1367"/>
      <c r="AG61" s="1370">
        <f>AR64+O60</f>
        <v>810</v>
      </c>
      <c r="AH61" s="1367"/>
      <c r="AI61" s="1367"/>
      <c r="AJ61" s="1370">
        <f>AU64+R60</f>
        <v>810</v>
      </c>
      <c r="AK61" s="376"/>
      <c r="AL61" s="376"/>
      <c r="AM61" s="500" t="s">
        <v>1056</v>
      </c>
      <c r="AN61" s="498">
        <f>INT(AD60/60)</f>
        <v>13</v>
      </c>
      <c r="AO61" s="1094" t="s">
        <v>1054</v>
      </c>
      <c r="AP61" s="499">
        <f>60*(MOD(AD60/60,60)-AN61)</f>
        <v>15</v>
      </c>
      <c r="AQ61" s="498">
        <f>INT(AG60/60)</f>
        <v>13</v>
      </c>
      <c r="AR61" s="1094" t="s">
        <v>1054</v>
      </c>
      <c r="AS61" s="499">
        <f>60*(MOD(AG60/60,60)-AQ61)</f>
        <v>15</v>
      </c>
      <c r="AT61" s="498">
        <f>INT(AJ60/60)</f>
        <v>13</v>
      </c>
      <c r="AU61" s="2096" t="s">
        <v>1054</v>
      </c>
      <c r="AV61" s="499">
        <f>60*(MOD(AJ60/60,60)-AT61)</f>
        <v>15</v>
      </c>
      <c r="AW61" s="1932"/>
      <c r="AX61" s="1932"/>
    </row>
    <row r="62" spans="1:50" ht="17.25" customHeight="1">
      <c r="A62" s="2486"/>
      <c r="B62" s="383"/>
      <c r="C62" s="1545"/>
      <c r="D62" s="1545"/>
      <c r="E62" s="1545"/>
      <c r="F62" s="1545"/>
      <c r="G62" s="413"/>
      <c r="H62" s="1715"/>
      <c r="I62" s="1713"/>
      <c r="J62" s="3724" t="s">
        <v>1104</v>
      </c>
      <c r="K62" s="3725"/>
      <c r="L62" s="1971">
        <f>165*POWER(0.000125,0.001*($L59-1000))*(1-EXP(-$L99*$L60))/$M99</f>
        <v>20.057357995345619</v>
      </c>
      <c r="M62" s="1542">
        <f>165*POWER(0.000125,0.001*($L59-1000))*(1-EXP(-$L99*$M60))/$M99</f>
        <v>15.414576710935279</v>
      </c>
      <c r="N62" s="1543">
        <f>165*POWER(0.000125,0.001*($L59-1000))*(1-EXP(-$L99*$N60))/$M99</f>
        <v>9.9525186612166454</v>
      </c>
      <c r="O62" s="1972">
        <f>165*POWER(0.000125,0.001*($O59-1000))*(1-EXP(-$L99*$O60))/$M99</f>
        <v>19.974184547738673</v>
      </c>
      <c r="P62" s="1542">
        <f>165*POWER(0.000125,0.001*($O59-1000))*(1-EXP(-$L99*$P60))/$M99</f>
        <v>15.350655855120282</v>
      </c>
      <c r="Q62" s="1543">
        <f>165*POWER(0.000125,0.001*($O59-1000))*(1-EXP(-$L99*$Q60))/$M99</f>
        <v>9.9112477575603446</v>
      </c>
      <c r="R62" s="1580">
        <f>165*POWER(0.000125,0.001*($R59-1000))*(1-EXP(-$L99*$R60))/$M99</f>
        <v>36.152177760782394</v>
      </c>
      <c r="S62" s="1544">
        <f>165*POWER(0.000125,0.001*($R59-1000))*(1-EXP(-$L99*$S60))/$M99</f>
        <v>27.783844586623285</v>
      </c>
      <c r="T62" s="1544">
        <f>165*POWER(0.000125,0.001*($R59-1000))*(1-EXP(-$L99*$T60))/$M99</f>
        <v>17.938814468550756</v>
      </c>
      <c r="U62" s="1538"/>
      <c r="V62" s="2709">
        <v>13</v>
      </c>
      <c r="W62" s="2712">
        <v>1.083</v>
      </c>
      <c r="X62" s="376"/>
      <c r="Y62" s="376"/>
      <c r="Z62" s="473"/>
      <c r="AA62" s="473"/>
      <c r="AB62" s="376"/>
      <c r="AC62" s="376"/>
      <c r="AD62" s="376"/>
      <c r="AE62" s="376"/>
      <c r="AF62" s="376"/>
      <c r="AG62" s="376"/>
      <c r="AH62" s="376"/>
      <c r="AI62" s="376"/>
      <c r="AJ62" s="376"/>
      <c r="AK62" s="376"/>
      <c r="AL62" s="376"/>
      <c r="AM62" s="406" t="s">
        <v>1057</v>
      </c>
      <c r="AN62" s="501">
        <f>INT(AD61/60)</f>
        <v>13</v>
      </c>
      <c r="AO62" s="1093" t="s">
        <v>1054</v>
      </c>
      <c r="AP62" s="502">
        <f>60*(MOD(AD61/60,60)-AN62)</f>
        <v>30</v>
      </c>
      <c r="AQ62" s="501">
        <f>INT(AG61/60)</f>
        <v>13</v>
      </c>
      <c r="AR62" s="1093" t="s">
        <v>1054</v>
      </c>
      <c r="AS62" s="502">
        <f>60*(MOD(AG61/60,60)-AQ62)</f>
        <v>30</v>
      </c>
      <c r="AT62" s="501">
        <f>INT(AJ61/60)</f>
        <v>13</v>
      </c>
      <c r="AU62" s="2097" t="s">
        <v>1054</v>
      </c>
      <c r="AV62" s="502">
        <f>60*(MOD(AJ61/60,60)-AT62)</f>
        <v>30</v>
      </c>
      <c r="AW62" s="1932"/>
      <c r="AX62" s="1932"/>
    </row>
    <row r="63" spans="1:50" ht="17.25" customHeight="1">
      <c r="A63" s="2486"/>
      <c r="B63" s="2486"/>
      <c r="C63" s="1545"/>
      <c r="D63" s="1545"/>
      <c r="E63" s="1545"/>
      <c r="F63" s="1545"/>
      <c r="G63" s="1715"/>
      <c r="H63" s="1715"/>
      <c r="I63" s="1713"/>
      <c r="J63" s="3726" t="s">
        <v>1105</v>
      </c>
      <c r="K63" s="3727"/>
      <c r="L63" s="1588">
        <f>L61*$L65/$D$5</f>
        <v>29.976484575706902</v>
      </c>
      <c r="M63" s="1589">
        <f>M61*$L65/$D$5</f>
        <v>0</v>
      </c>
      <c r="N63" s="1589">
        <f>N61*$L65/$D$5</f>
        <v>0</v>
      </c>
      <c r="O63" s="1589">
        <f>O61*$O65/$D$5</f>
        <v>29.852178694051073</v>
      </c>
      <c r="P63" s="1589">
        <f>P61*$O65/$D$5</f>
        <v>0</v>
      </c>
      <c r="Q63" s="1589">
        <f>Q61*$O65/$D$5</f>
        <v>0</v>
      </c>
      <c r="R63" s="1590">
        <f>R61*$R65/$D$5</f>
        <v>30.079004855424881</v>
      </c>
      <c r="S63" s="1590">
        <f>S61*$R65/$D$5</f>
        <v>0</v>
      </c>
      <c r="T63" s="1591">
        <f>T61*$R65/$D$5</f>
        <v>0</v>
      </c>
      <c r="U63" s="1538"/>
      <c r="V63" s="2709">
        <f>(V62+V64)/2</f>
        <v>13.5</v>
      </c>
      <c r="W63" s="2709">
        <f>(W62+W64)/2</f>
        <v>1.0665</v>
      </c>
      <c r="X63" s="376"/>
      <c r="Y63" s="376"/>
      <c r="Z63" s="473"/>
      <c r="AA63" s="473"/>
      <c r="AB63" s="376"/>
      <c r="AC63" s="376"/>
      <c r="AD63" s="376"/>
      <c r="AE63" s="376"/>
      <c r="AF63" s="376"/>
      <c r="AG63" s="376"/>
      <c r="AH63" s="376"/>
      <c r="AI63" s="376"/>
      <c r="AJ63" s="376"/>
      <c r="AK63" s="376"/>
      <c r="AL63" s="376"/>
      <c r="AM63" s="406" t="s">
        <v>1058</v>
      </c>
      <c r="AN63" s="3205" t="str">
        <f>L60&amp;" mins"</f>
        <v>60 mins</v>
      </c>
      <c r="AO63" s="3009"/>
      <c r="AP63" s="3206"/>
      <c r="AQ63" s="3205" t="str">
        <f>O60&amp;" mins"</f>
        <v>60 mins</v>
      </c>
      <c r="AR63" s="3009"/>
      <c r="AS63" s="3206"/>
      <c r="AT63" s="3205" t="str">
        <f>R60&amp;" mins"</f>
        <v>60 mins</v>
      </c>
      <c r="AU63" s="3009"/>
      <c r="AV63" s="3206"/>
      <c r="AW63" s="1932"/>
      <c r="AX63" s="1932"/>
    </row>
    <row r="64" spans="1:50" ht="17.25" customHeight="1">
      <c r="A64" s="2486"/>
      <c r="B64" s="2486"/>
      <c r="C64" s="1713"/>
      <c r="D64" s="1715"/>
      <c r="E64" s="1715"/>
      <c r="F64" s="1715"/>
      <c r="G64" s="1715"/>
      <c r="H64" s="1715"/>
      <c r="I64" s="1713"/>
      <c r="J64" s="3704" t="s">
        <v>1106</v>
      </c>
      <c r="K64" s="3705"/>
      <c r="L64" s="3673" t="str">
        <f>FIXED(L56*P104*S104/(L104*D5),1)&amp;" EBU"</f>
        <v>0.0 EBU</v>
      </c>
      <c r="M64" s="3674"/>
      <c r="N64" s="3674"/>
      <c r="O64" s="3675" t="str">
        <f>FIXED(O56*P104*S104/(L104*D5),1)&amp;" EBU"</f>
        <v>0.0 EBU</v>
      </c>
      <c r="P64" s="3675"/>
      <c r="Q64" s="3675"/>
      <c r="R64" s="3676" t="str">
        <f>FIXED(R56*P104*S104/(L104*D5),1)&amp;" EBU"</f>
        <v>0.0 EBU</v>
      </c>
      <c r="S64" s="3676"/>
      <c r="T64" s="3676"/>
      <c r="U64" s="1538"/>
      <c r="V64" s="2709">
        <v>14</v>
      </c>
      <c r="W64" s="2712">
        <v>1.05</v>
      </c>
      <c r="X64" s="376"/>
      <c r="Y64" s="376"/>
      <c r="Z64" s="473"/>
      <c r="AA64" s="473"/>
      <c r="AB64" s="376"/>
      <c r="AC64" s="376"/>
      <c r="AD64" s="376"/>
      <c r="AE64" s="376"/>
      <c r="AF64" s="376"/>
      <c r="AG64" s="376"/>
      <c r="AH64" s="376"/>
      <c r="AI64" s="376"/>
      <c r="AJ64" s="376"/>
      <c r="AK64" s="376"/>
      <c r="AL64" s="376"/>
      <c r="AM64" s="407" t="s">
        <v>1059</v>
      </c>
      <c r="AN64" s="276"/>
      <c r="AO64" s="565">
        <f>AN59*60+AP59</f>
        <v>750</v>
      </c>
      <c r="AP64" s="565"/>
      <c r="AQ64" s="566"/>
      <c r="AR64" s="2098">
        <f>AQ59*60+AS59</f>
        <v>750</v>
      </c>
      <c r="AS64" s="566"/>
      <c r="AT64" s="567"/>
      <c r="AU64" s="2098">
        <f>AT59*60+AV59</f>
        <v>750</v>
      </c>
      <c r="AV64" s="276"/>
      <c r="AW64" s="1932"/>
      <c r="AX64" s="1932"/>
    </row>
    <row r="65" spans="1:50" ht="17.25" customHeight="1">
      <c r="A65" s="2486"/>
      <c r="B65" s="2486"/>
      <c r="C65" s="1713"/>
      <c r="D65" s="1715"/>
      <c r="E65" s="1715"/>
      <c r="F65" s="1715"/>
      <c r="G65" s="1715"/>
      <c r="H65" s="1715"/>
      <c r="I65" s="1713"/>
      <c r="J65" s="3677" t="s">
        <v>1107</v>
      </c>
      <c r="K65" s="3677"/>
      <c r="L65" s="2058">
        <f>L58-0.001*$AD$57</f>
        <v>10.945001</v>
      </c>
      <c r="M65" s="3678" t="str">
        <f>FIXED((SUM(L63:N63)+(L56*P104*S104/(L104*D5))),1)&amp;" EBU"</f>
        <v>30.0 EBU</v>
      </c>
      <c r="N65" s="3678"/>
      <c r="O65" s="1209">
        <f>O58-0.001*$AG$57</f>
        <v>13.445001</v>
      </c>
      <c r="P65" s="3679" t="str">
        <f>FIXED((SUM(O63:Q63)+(O56*P104*S104/(L104*D5))),1)&amp;" EBU"</f>
        <v>29.9 EBU</v>
      </c>
      <c r="Q65" s="3679"/>
      <c r="R65" s="1209">
        <f>R58-0.001*$AJ$57</f>
        <v>2.969382</v>
      </c>
      <c r="S65" s="3680" t="str">
        <f>FIXED((SUM(R63:T63)+(R56*P104*S104/(L104*D5))),1)&amp;" EBU"</f>
        <v>30.1 EBU</v>
      </c>
      <c r="T65" s="3680"/>
      <c r="U65" s="1538"/>
      <c r="V65" s="2709">
        <f>(V64+V66)/2</f>
        <v>14.5</v>
      </c>
      <c r="W65" s="2709">
        <f>(W64+W66)/2</f>
        <v>1.034</v>
      </c>
      <c r="X65" s="376"/>
      <c r="Y65" s="376"/>
      <c r="Z65" s="473"/>
      <c r="AA65" s="473"/>
      <c r="AB65" s="376"/>
      <c r="AC65" s="376"/>
      <c r="AD65" s="413"/>
      <c r="AE65" s="413"/>
      <c r="AF65" s="413"/>
      <c r="AG65" s="413"/>
      <c r="AH65" s="413"/>
      <c r="AI65" s="413"/>
      <c r="AJ65" s="1367"/>
      <c r="AK65" s="1371"/>
      <c r="AL65" s="376"/>
      <c r="AM65" s="1932"/>
      <c r="AN65" s="1932"/>
      <c r="AO65" s="1932"/>
      <c r="AP65" s="1932"/>
      <c r="AQ65" s="1932"/>
      <c r="AR65" s="1932"/>
      <c r="AS65" s="1932"/>
      <c r="AT65" s="1932"/>
      <c r="AU65" s="1932"/>
      <c r="AV65" s="1932"/>
      <c r="AW65" s="1932"/>
      <c r="AX65" s="1932"/>
    </row>
    <row r="66" spans="1:50" ht="17.25" customHeight="1">
      <c r="A66" s="2486"/>
      <c r="B66" s="2486"/>
      <c r="C66" s="1713"/>
      <c r="D66" s="1715"/>
      <c r="E66" s="1715"/>
      <c r="F66" s="1715"/>
      <c r="G66" s="1715"/>
      <c r="H66" s="1715"/>
      <c r="I66" s="1713"/>
      <c r="J66" s="2539"/>
      <c r="K66" s="2539"/>
      <c r="L66" s="503"/>
      <c r="M66" s="503"/>
      <c r="N66" s="503"/>
      <c r="O66" s="503"/>
      <c r="P66" s="503"/>
      <c r="Q66" s="503"/>
      <c r="R66" s="3681" t="str">
        <f>"Suggested min. boil vol. for Method 2 is "&amp;FIXED(AJ57/13,1)&amp;" litres ("&amp;R58&amp;" used) &amp; a min. sieve / colander capacity of "&amp;FIXED(0.1+AJ57/17,1)&amp;" litres."</f>
        <v>Suggested min. boil vol. for Method 2 is 2.4 litres (3 used) &amp; a min. sieve / colander capacity of 1.9 litres.</v>
      </c>
      <c r="S66" s="3682"/>
      <c r="T66" s="3683"/>
      <c r="U66" s="1538"/>
      <c r="V66" s="2709">
        <v>15</v>
      </c>
      <c r="W66" s="2712">
        <v>1.018</v>
      </c>
      <c r="X66" s="376"/>
      <c r="Y66" s="376"/>
      <c r="Z66" s="473"/>
      <c r="AA66" s="473"/>
      <c r="AB66" s="376"/>
      <c r="AC66" s="413"/>
      <c r="AD66" s="413"/>
      <c r="AE66" s="413"/>
      <c r="AF66" s="413"/>
      <c r="AG66" s="413"/>
      <c r="AH66" s="413"/>
      <c r="AI66" s="413"/>
      <c r="AJ66" s="413"/>
      <c r="AK66" s="413"/>
      <c r="AL66" s="413"/>
      <c r="AM66" s="2348"/>
      <c r="AN66" s="2348"/>
      <c r="AO66" s="2348"/>
      <c r="AP66" s="2348"/>
      <c r="AQ66" s="2348"/>
      <c r="AR66" s="2348"/>
      <c r="AS66" s="2348"/>
      <c r="AT66" s="2348"/>
      <c r="AU66" s="2348"/>
      <c r="AV66" s="2348"/>
      <c r="AW66" s="2348"/>
      <c r="AX66" s="2533"/>
    </row>
    <row r="67" spans="1:50" ht="17.25" customHeight="1">
      <c r="A67" s="2486"/>
      <c r="B67" s="2486"/>
      <c r="C67" s="1713"/>
      <c r="D67" s="1715"/>
      <c r="E67" s="1715"/>
      <c r="F67" s="1715"/>
      <c r="G67" s="1715"/>
      <c r="H67" s="1715"/>
      <c r="I67" s="1713"/>
      <c r="J67" s="3717" t="s">
        <v>1108</v>
      </c>
      <c r="K67" s="3717"/>
      <c r="L67" s="503"/>
      <c r="M67" s="503"/>
      <c r="N67" s="503"/>
      <c r="O67" s="503"/>
      <c r="P67" s="503"/>
      <c r="Q67" s="503"/>
      <c r="R67" s="3684"/>
      <c r="S67" s="3685"/>
      <c r="T67" s="3686"/>
      <c r="U67" s="1538"/>
      <c r="V67" s="2709">
        <f>(V66+V68)/2</f>
        <v>15.5</v>
      </c>
      <c r="W67" s="2709">
        <f>(W66+W68)/2</f>
        <v>1.0015000000000001</v>
      </c>
      <c r="X67" s="376"/>
      <c r="Y67" s="376"/>
      <c r="Z67" s="473"/>
      <c r="AA67" s="473"/>
      <c r="AB67" s="376"/>
      <c r="AC67" s="413"/>
      <c r="AD67" s="413"/>
      <c r="AE67" s="413"/>
      <c r="AF67" s="413"/>
      <c r="AG67" s="413"/>
      <c r="AH67" s="413"/>
      <c r="AI67" s="413"/>
      <c r="AJ67" s="413"/>
      <c r="AK67" s="413"/>
      <c r="AL67" s="413"/>
      <c r="AM67" s="2348"/>
      <c r="AN67" s="2348"/>
      <c r="AO67" s="2348"/>
      <c r="AP67" s="2348"/>
      <c r="AQ67" s="2348"/>
      <c r="AR67" s="2348"/>
      <c r="AS67" s="2348"/>
      <c r="AT67" s="2348"/>
      <c r="AU67" s="2348"/>
      <c r="AV67" s="2348"/>
      <c r="AW67" s="2348"/>
      <c r="AX67" s="2533"/>
    </row>
    <row r="68" spans="1:50" ht="17.25" customHeight="1">
      <c r="A68" s="2486"/>
      <c r="B68" s="2486"/>
      <c r="C68" s="1713"/>
      <c r="D68" s="1715"/>
      <c r="E68" s="1715"/>
      <c r="F68" s="1715"/>
      <c r="G68" s="1715"/>
      <c r="H68" s="1715"/>
      <c r="I68" s="1713"/>
      <c r="J68" s="3690" t="s">
        <v>1109</v>
      </c>
      <c r="K68" s="3690"/>
      <c r="L68" s="3690"/>
      <c r="M68" s="3690"/>
      <c r="N68" s="3690"/>
      <c r="O68" s="587"/>
      <c r="P68" s="503"/>
      <c r="Q68" s="503"/>
      <c r="R68" s="3684"/>
      <c r="S68" s="3685"/>
      <c r="T68" s="3686"/>
      <c r="U68" s="1538"/>
      <c r="V68" s="2709">
        <v>16</v>
      </c>
      <c r="W68" s="2712">
        <v>0.98499999999999999</v>
      </c>
      <c r="X68" s="376"/>
      <c r="Y68" s="376"/>
      <c r="Z68" s="473"/>
      <c r="AA68" s="473"/>
      <c r="AB68" s="376"/>
      <c r="AC68" s="413"/>
      <c r="AD68" s="413"/>
      <c r="AE68" s="413"/>
      <c r="AF68" s="413"/>
      <c r="AG68" s="413"/>
      <c r="AH68" s="413"/>
      <c r="AI68" s="413"/>
      <c r="AJ68" s="413"/>
      <c r="AK68" s="413"/>
      <c r="AL68" s="413"/>
      <c r="AM68" s="2348"/>
      <c r="AN68" s="2348"/>
      <c r="AO68" s="2348"/>
      <c r="AP68" s="2348"/>
      <c r="AQ68" s="2348"/>
      <c r="AR68" s="2348"/>
      <c r="AS68" s="2348"/>
      <c r="AT68" s="2348"/>
      <c r="AU68" s="2348"/>
      <c r="AV68" s="2348"/>
      <c r="AW68" s="2348"/>
      <c r="AX68" s="2533"/>
    </row>
    <row r="69" spans="1:50" ht="15" customHeight="1">
      <c r="A69" s="2486"/>
      <c r="B69" s="2486"/>
      <c r="C69" s="2486"/>
      <c r="D69" s="2486"/>
      <c r="E69" s="2486"/>
      <c r="F69" s="2486"/>
      <c r="G69" s="2486"/>
      <c r="H69" s="2486"/>
      <c r="I69" s="2486"/>
      <c r="J69" s="3690"/>
      <c r="K69" s="3690"/>
      <c r="L69" s="3690"/>
      <c r="M69" s="3690"/>
      <c r="N69" s="3690"/>
      <c r="O69" s="587"/>
      <c r="P69" s="587"/>
      <c r="Q69" s="2539"/>
      <c r="R69" s="3687"/>
      <c r="S69" s="3688"/>
      <c r="T69" s="3689"/>
      <c r="U69" s="1538"/>
      <c r="V69" s="2709">
        <f>(V68+V70)/2</f>
        <v>16.5</v>
      </c>
      <c r="W69" s="2709">
        <f>(W68+W70)/2</f>
        <v>0.97049999999999992</v>
      </c>
      <c r="X69" s="376"/>
      <c r="Y69" s="376"/>
      <c r="Z69" s="473"/>
      <c r="AA69" s="473"/>
      <c r="AB69" s="376"/>
      <c r="AC69" s="413"/>
      <c r="AD69" s="413"/>
      <c r="AE69" s="413"/>
      <c r="AF69" s="413"/>
      <c r="AG69" s="413"/>
      <c r="AH69" s="413"/>
      <c r="AI69" s="413"/>
      <c r="AJ69" s="413"/>
      <c r="AK69" s="413"/>
      <c r="AL69" s="413"/>
      <c r="AM69" s="2348"/>
      <c r="AN69" s="2348"/>
      <c r="AO69" s="2348"/>
      <c r="AP69" s="2348"/>
      <c r="AQ69" s="2348"/>
      <c r="AR69" s="2348"/>
      <c r="AS69" s="2348"/>
      <c r="AT69" s="2348"/>
      <c r="AU69" s="2348"/>
      <c r="AV69" s="2348"/>
      <c r="AW69" s="2348"/>
      <c r="AX69" s="2533"/>
    </row>
    <row r="70" spans="1:50" ht="15" customHeight="1">
      <c r="A70" s="2486"/>
      <c r="B70" s="2486"/>
      <c r="C70" s="2486"/>
      <c r="D70" s="2486"/>
      <c r="E70" s="2486"/>
      <c r="F70" s="2486"/>
      <c r="G70" s="2486"/>
      <c r="H70" s="2486"/>
      <c r="I70" s="2486"/>
      <c r="J70" s="3690"/>
      <c r="K70" s="3690"/>
      <c r="L70" s="3690"/>
      <c r="M70" s="3690"/>
      <c r="N70" s="3690"/>
      <c r="O70" s="1530"/>
      <c r="P70" s="1530"/>
      <c r="Q70" s="1531"/>
      <c r="R70" s="1959"/>
      <c r="S70" s="1959"/>
      <c r="T70" s="1959"/>
      <c r="U70" s="1538"/>
      <c r="V70" s="2709">
        <v>17</v>
      </c>
      <c r="W70" s="2712">
        <v>0.95599999999999996</v>
      </c>
      <c r="X70" s="376"/>
      <c r="Y70" s="376"/>
      <c r="Z70" s="473"/>
      <c r="AA70" s="473"/>
      <c r="AB70" s="376"/>
      <c r="AC70" s="413"/>
      <c r="AD70" s="413"/>
      <c r="AE70" s="413"/>
      <c r="AF70" s="413"/>
      <c r="AG70" s="413"/>
      <c r="AH70" s="413"/>
      <c r="AI70" s="413"/>
      <c r="AJ70" s="413"/>
      <c r="AK70" s="413"/>
      <c r="AL70" s="413"/>
      <c r="AM70" s="2348"/>
      <c r="AN70" s="2348"/>
      <c r="AO70" s="2348"/>
      <c r="AP70" s="2348"/>
      <c r="AQ70" s="2348"/>
      <c r="AR70" s="2348"/>
      <c r="AS70" s="2348"/>
      <c r="AT70" s="2348"/>
      <c r="AU70" s="2348"/>
      <c r="AV70" s="2348"/>
      <c r="AW70" s="2348"/>
      <c r="AX70" s="2533"/>
    </row>
    <row r="71" spans="1:50" ht="15" customHeight="1">
      <c r="A71" s="2486"/>
      <c r="B71" s="2486"/>
      <c r="C71" s="2486"/>
      <c r="D71" s="2486"/>
      <c r="E71" s="2486"/>
      <c r="F71" s="2486"/>
      <c r="G71" s="2486"/>
      <c r="H71" s="2486"/>
      <c r="I71" s="2486"/>
      <c r="J71" s="3690"/>
      <c r="K71" s="3690"/>
      <c r="L71" s="3690"/>
      <c r="M71" s="3690"/>
      <c r="N71" s="3690"/>
      <c r="O71" s="1530"/>
      <c r="P71" s="1529" t="s">
        <v>132</v>
      </c>
      <c r="Q71" s="1488"/>
      <c r="R71" s="1488"/>
      <c r="S71" s="1488"/>
      <c r="T71" s="1545"/>
      <c r="U71" s="1538"/>
      <c r="V71" s="2709">
        <f>(V70+V72)/2</f>
        <v>17.5</v>
      </c>
      <c r="W71" s="2709">
        <f>(W70+W72)/2</f>
        <v>0.94199999999999995</v>
      </c>
      <c r="X71" s="376"/>
      <c r="Y71" s="376"/>
      <c r="Z71" s="473"/>
      <c r="AA71" s="473"/>
      <c r="AB71" s="376"/>
      <c r="AC71" s="413"/>
      <c r="AD71" s="413"/>
      <c r="AE71" s="413"/>
      <c r="AF71" s="413"/>
      <c r="AG71" s="413"/>
      <c r="AH71" s="413"/>
      <c r="AI71" s="413"/>
      <c r="AJ71" s="413"/>
      <c r="AK71" s="413"/>
      <c r="AL71" s="413"/>
      <c r="AM71" s="2348"/>
      <c r="AN71" s="2348"/>
      <c r="AO71" s="2348"/>
      <c r="AP71" s="2348"/>
      <c r="AQ71" s="2348"/>
      <c r="AR71" s="2348"/>
      <c r="AS71" s="2348"/>
      <c r="AT71" s="2348"/>
      <c r="AU71" s="2348"/>
      <c r="AV71" s="2348"/>
      <c r="AW71" s="2348"/>
      <c r="AX71" s="2533"/>
    </row>
    <row r="72" spans="1:50" ht="15" customHeight="1">
      <c r="A72" s="2486"/>
      <c r="B72" s="2486"/>
      <c r="C72" s="2486"/>
      <c r="D72" s="2486"/>
      <c r="E72" s="2486"/>
      <c r="F72" s="2486"/>
      <c r="G72" s="2486"/>
      <c r="H72" s="2486"/>
      <c r="I72" s="2486"/>
      <c r="J72" s="3690"/>
      <c r="K72" s="3690"/>
      <c r="L72" s="3690"/>
      <c r="M72" s="3690"/>
      <c r="N72" s="3690"/>
      <c r="O72" s="587"/>
      <c r="P72" s="258" t="s">
        <v>295</v>
      </c>
      <c r="Q72" s="378" t="s">
        <v>23</v>
      </c>
      <c r="R72" s="3178" t="s">
        <v>983</v>
      </c>
      <c r="S72" s="3233"/>
      <c r="T72" s="1516" t="s">
        <v>141</v>
      </c>
      <c r="U72" s="1538"/>
      <c r="V72" s="2709">
        <v>18</v>
      </c>
      <c r="W72" s="2712">
        <v>0.92800000000000005</v>
      </c>
      <c r="X72" s="376"/>
      <c r="Y72" s="376"/>
      <c r="Z72" s="473"/>
      <c r="AA72" s="473"/>
      <c r="AB72" s="376"/>
      <c r="AC72" s="413"/>
      <c r="AD72" s="413"/>
      <c r="AE72" s="413"/>
      <c r="AF72" s="413"/>
      <c r="AG72" s="413"/>
      <c r="AH72" s="413"/>
      <c r="AI72" s="413"/>
      <c r="AJ72" s="413"/>
      <c r="AK72" s="413"/>
      <c r="AL72" s="413"/>
      <c r="AM72" s="2348"/>
      <c r="AN72" s="2348"/>
      <c r="AO72" s="2348"/>
      <c r="AP72" s="2348"/>
      <c r="AQ72" s="2348"/>
      <c r="AR72" s="2348"/>
      <c r="AS72" s="2348"/>
      <c r="AT72" s="2348"/>
      <c r="AU72" s="2348"/>
      <c r="AV72" s="2348"/>
      <c r="AW72" s="2348"/>
      <c r="AX72" s="2533"/>
    </row>
    <row r="73" spans="1:50" ht="15" customHeight="1">
      <c r="A73" s="2486"/>
      <c r="B73" s="2486"/>
      <c r="C73" s="2486"/>
      <c r="D73" s="2486"/>
      <c r="E73" s="2486"/>
      <c r="F73" s="2486"/>
      <c r="G73" s="2486"/>
      <c r="H73" s="2486"/>
      <c r="I73" s="2486"/>
      <c r="J73" s="3690"/>
      <c r="K73" s="3690"/>
      <c r="L73" s="3690"/>
      <c r="M73" s="3690"/>
      <c r="N73" s="3690"/>
      <c r="O73" s="587"/>
      <c r="P73" s="261">
        <v>2.2000000000000002</v>
      </c>
      <c r="Q73" s="1008">
        <f>P73*16</f>
        <v>35.200000000000003</v>
      </c>
      <c r="R73" s="3178" t="str">
        <f>INT(Q73/16)&amp;" lb. "&amp;FIXED(Q73-16*INT(Q73/16))&amp;" oz"</f>
        <v>2 lb. 3.20 oz</v>
      </c>
      <c r="S73" s="3233"/>
      <c r="T73" s="1516">
        <f>Q73*28.3495</f>
        <v>997.90240000000006</v>
      </c>
      <c r="U73" s="1538"/>
      <c r="V73" s="2709">
        <f>(V72+V74)/2</f>
        <v>18.5</v>
      </c>
      <c r="W73" s="2709">
        <f>(W72+W74)/2</f>
        <v>0.91500000000000004</v>
      </c>
      <c r="X73" s="413"/>
      <c r="Y73" s="413"/>
      <c r="Z73" s="413"/>
      <c r="AA73" s="413"/>
      <c r="AB73" s="376"/>
      <c r="AC73" s="413"/>
      <c r="AD73" s="413"/>
      <c r="AE73" s="413"/>
      <c r="AF73" s="413"/>
      <c r="AG73" s="413"/>
      <c r="AH73" s="413"/>
      <c r="AI73" s="413"/>
      <c r="AJ73" s="413"/>
      <c r="AK73" s="413"/>
      <c r="AL73" s="413"/>
      <c r="AM73" s="2348"/>
      <c r="AN73" s="2348"/>
      <c r="AO73" s="2348"/>
      <c r="AP73" s="2348"/>
      <c r="AQ73" s="2348"/>
      <c r="AR73" s="2348"/>
      <c r="AS73" s="2348"/>
      <c r="AT73" s="2348"/>
      <c r="AU73" s="2348"/>
      <c r="AV73" s="2348"/>
      <c r="AW73" s="2348"/>
      <c r="AX73" s="2533"/>
    </row>
    <row r="74" spans="1:50" ht="15" customHeight="1">
      <c r="A74" s="2486"/>
      <c r="B74" s="2486"/>
      <c r="C74" s="2486"/>
      <c r="D74" s="2486"/>
      <c r="E74" s="2486"/>
      <c r="F74" s="2486"/>
      <c r="G74" s="2486"/>
      <c r="H74" s="2486"/>
      <c r="I74" s="2486"/>
      <c r="J74" s="3690"/>
      <c r="K74" s="3690"/>
      <c r="L74" s="3690"/>
      <c r="M74" s="3690"/>
      <c r="N74" s="3690"/>
      <c r="O74" s="587"/>
      <c r="P74" s="1254"/>
      <c r="Q74" s="1254"/>
      <c r="R74" s="1254"/>
      <c r="S74" s="1254"/>
      <c r="T74" s="1254"/>
      <c r="U74" s="1538"/>
      <c r="V74" s="2709">
        <v>19</v>
      </c>
      <c r="W74" s="2712">
        <v>0.90200000000000002</v>
      </c>
      <c r="X74" s="413"/>
      <c r="Y74" s="413"/>
      <c r="Z74" s="413"/>
      <c r="AA74" s="413"/>
      <c r="AB74" s="376"/>
      <c r="AC74" s="413"/>
      <c r="AD74" s="413"/>
      <c r="AE74" s="413"/>
      <c r="AF74" s="413"/>
      <c r="AG74" s="413"/>
      <c r="AH74" s="413"/>
      <c r="AI74" s="413"/>
      <c r="AJ74" s="413"/>
      <c r="AK74" s="413"/>
      <c r="AL74" s="413"/>
      <c r="AM74" s="2348"/>
      <c r="AN74" s="2348"/>
      <c r="AO74" s="2348"/>
      <c r="AP74" s="2348"/>
      <c r="AQ74" s="2348"/>
      <c r="AR74" s="2348"/>
      <c r="AS74" s="2348"/>
      <c r="AT74" s="2348"/>
      <c r="AU74" s="2348"/>
      <c r="AV74" s="2348"/>
      <c r="AW74" s="2348"/>
      <c r="AX74" s="2533"/>
    </row>
    <row r="75" spans="1:50" ht="15" customHeight="1">
      <c r="A75" s="2486"/>
      <c r="B75" s="2486"/>
      <c r="C75" s="2486"/>
      <c r="D75" s="2486"/>
      <c r="E75" s="2486"/>
      <c r="F75" s="2486"/>
      <c r="G75" s="2486"/>
      <c r="H75" s="2486"/>
      <c r="I75" s="2486"/>
      <c r="J75" s="3690"/>
      <c r="K75" s="3690"/>
      <c r="L75" s="3690"/>
      <c r="M75" s="3690"/>
      <c r="N75" s="3690"/>
      <c r="O75" s="587"/>
      <c r="P75" s="377" t="s">
        <v>981</v>
      </c>
      <c r="Q75" s="378" t="s">
        <v>23</v>
      </c>
      <c r="R75" s="3238" t="s">
        <v>1532</v>
      </c>
      <c r="S75" s="3223"/>
      <c r="T75" s="1254"/>
      <c r="U75" s="1254"/>
      <c r="V75" s="2709">
        <f>(V74+V76)/2</f>
        <v>19.5</v>
      </c>
      <c r="W75" s="2709">
        <f>(W74+W76)/2</f>
        <v>0.88949999999999996</v>
      </c>
      <c r="X75" s="413"/>
      <c r="Y75" s="413"/>
      <c r="Z75" s="413"/>
      <c r="AA75" s="413"/>
      <c r="AB75" s="376"/>
      <c r="AC75" s="413"/>
      <c r="AD75" s="413"/>
      <c r="AE75" s="413"/>
      <c r="AF75" s="413"/>
      <c r="AG75" s="413"/>
      <c r="AH75" s="413"/>
      <c r="AI75" s="413"/>
      <c r="AJ75" s="413"/>
      <c r="AK75" s="413"/>
      <c r="AL75" s="413"/>
      <c r="AM75" s="2348"/>
      <c r="AN75" s="2348"/>
      <c r="AO75" s="2348"/>
      <c r="AP75" s="2348"/>
      <c r="AQ75" s="2348"/>
      <c r="AR75" s="2348"/>
      <c r="AS75" s="2348"/>
      <c r="AT75" s="2348"/>
      <c r="AU75" s="2348"/>
      <c r="AV75" s="2348"/>
      <c r="AW75" s="2348"/>
      <c r="AX75" s="2533"/>
    </row>
    <row r="76" spans="1:50" ht="15" customHeight="1">
      <c r="A76" s="2486"/>
      <c r="B76" s="2486"/>
      <c r="C76" s="2486"/>
      <c r="D76" s="2486"/>
      <c r="E76" s="2486"/>
      <c r="F76" s="2486"/>
      <c r="G76" s="2486"/>
      <c r="H76" s="2486"/>
      <c r="I76" s="2486"/>
      <c r="J76" s="3690"/>
      <c r="K76" s="3690"/>
      <c r="L76" s="3690"/>
      <c r="M76" s="3690"/>
      <c r="N76" s="3690"/>
      <c r="O76" s="587"/>
      <c r="P76" s="1348">
        <v>1</v>
      </c>
      <c r="Q76" s="1347">
        <v>4</v>
      </c>
      <c r="R76" s="258">
        <f>1000*(P76+Q76/16)*0.4536</f>
        <v>567</v>
      </c>
      <c r="S76" s="266">
        <f>R76/1000</f>
        <v>0.56699999999999995</v>
      </c>
      <c r="T76" s="1254"/>
      <c r="U76" s="1254"/>
      <c r="V76" s="2709">
        <v>20</v>
      </c>
      <c r="W76" s="2712">
        <v>0.877</v>
      </c>
      <c r="X76" s="413"/>
      <c r="Y76" s="413"/>
      <c r="Z76" s="413"/>
      <c r="AA76" s="413"/>
      <c r="AB76" s="376"/>
      <c r="AC76" s="413"/>
      <c r="AD76" s="413"/>
      <c r="AE76" s="413"/>
      <c r="AF76" s="413"/>
      <c r="AG76" s="413"/>
      <c r="AH76" s="413"/>
      <c r="AI76" s="413"/>
      <c r="AJ76" s="413"/>
      <c r="AK76" s="413"/>
      <c r="AL76" s="413"/>
      <c r="AM76" s="2348"/>
      <c r="AN76" s="2348"/>
      <c r="AO76" s="2348"/>
      <c r="AP76" s="2348"/>
      <c r="AQ76" s="2348"/>
      <c r="AR76" s="2348"/>
      <c r="AS76" s="2348"/>
      <c r="AT76" s="2348"/>
      <c r="AU76" s="2348"/>
      <c r="AV76" s="2348"/>
      <c r="AW76" s="2348"/>
      <c r="AX76" s="2533"/>
    </row>
    <row r="77" spans="1:50" ht="15" customHeight="1">
      <c r="A77" s="2486"/>
      <c r="B77" s="2486"/>
      <c r="C77" s="2486"/>
      <c r="D77" s="2486"/>
      <c r="E77" s="2486"/>
      <c r="F77" s="2486"/>
      <c r="G77" s="2486"/>
      <c r="H77" s="2486"/>
      <c r="I77" s="2486"/>
      <c r="J77" s="3690"/>
      <c r="K77" s="3690"/>
      <c r="L77" s="3690"/>
      <c r="M77" s="3690"/>
      <c r="N77" s="3690"/>
      <c r="O77" s="587"/>
      <c r="P77" s="29"/>
      <c r="Q77" s="29"/>
      <c r="R77" s="29"/>
      <c r="S77" s="29"/>
      <c r="T77" s="29"/>
      <c r="U77" s="1254"/>
      <c r="V77" s="2709">
        <f>(V76+V78)/2</f>
        <v>20.5</v>
      </c>
      <c r="W77" s="2709">
        <f>(W76+W78)/2</f>
        <v>0.86450000000000005</v>
      </c>
      <c r="X77" s="413"/>
      <c r="Y77" s="413"/>
      <c r="Z77" s="413"/>
      <c r="AA77" s="413"/>
      <c r="AB77" s="376"/>
      <c r="AC77" s="413"/>
      <c r="AD77" s="413"/>
      <c r="AE77" s="413"/>
      <c r="AF77" s="413"/>
      <c r="AG77" s="413"/>
      <c r="AH77" s="413"/>
      <c r="AI77" s="413"/>
      <c r="AJ77" s="413"/>
      <c r="AK77" s="413"/>
      <c r="AL77" s="413"/>
      <c r="AM77" s="2348"/>
      <c r="AN77" s="2348"/>
      <c r="AO77" s="2348"/>
      <c r="AP77" s="2348"/>
      <c r="AQ77" s="2348"/>
      <c r="AR77" s="2348"/>
      <c r="AS77" s="2348"/>
      <c r="AT77" s="2348"/>
      <c r="AU77" s="2348"/>
      <c r="AV77" s="2348"/>
      <c r="AW77" s="2348"/>
      <c r="AX77" s="2533"/>
    </row>
    <row r="78" spans="1:50" ht="15" customHeight="1">
      <c r="A78" s="2486"/>
      <c r="B78" s="2486"/>
      <c r="C78" s="2486"/>
      <c r="D78" s="2486"/>
      <c r="E78" s="2486"/>
      <c r="F78" s="2486"/>
      <c r="G78" s="2486"/>
      <c r="H78" s="2486"/>
      <c r="I78" s="2486"/>
      <c r="J78" s="587"/>
      <c r="K78" s="587"/>
      <c r="L78" s="587"/>
      <c r="M78" s="587"/>
      <c r="N78" s="587"/>
      <c r="O78" s="587"/>
      <c r="P78" s="258" t="s">
        <v>133</v>
      </c>
      <c r="Q78" s="2918" t="s">
        <v>23</v>
      </c>
      <c r="R78" s="2918" t="s">
        <v>981</v>
      </c>
      <c r="S78" s="3178" t="s">
        <v>1557</v>
      </c>
      <c r="T78" s="3233"/>
      <c r="U78" s="1254"/>
      <c r="V78" s="2709">
        <v>21</v>
      </c>
      <c r="W78" s="2712">
        <v>0.85199999999999998</v>
      </c>
      <c r="X78" s="413"/>
      <c r="Y78" s="413"/>
      <c r="Z78" s="413"/>
      <c r="AA78" s="413"/>
      <c r="AB78" s="376"/>
      <c r="AC78" s="413"/>
      <c r="AD78" s="413"/>
      <c r="AE78" s="413"/>
      <c r="AF78" s="413"/>
      <c r="AG78" s="413"/>
      <c r="AH78" s="413"/>
      <c r="AI78" s="413"/>
      <c r="AJ78" s="413"/>
      <c r="AK78" s="413"/>
      <c r="AL78" s="413"/>
      <c r="AM78" s="2348"/>
      <c r="AN78" s="2348"/>
      <c r="AO78" s="2348"/>
      <c r="AP78" s="2348"/>
      <c r="AQ78" s="2348"/>
      <c r="AR78" s="2348"/>
      <c r="AS78" s="2348"/>
      <c r="AT78" s="2348"/>
      <c r="AU78" s="2348"/>
      <c r="AV78" s="2348"/>
      <c r="AW78" s="2348"/>
      <c r="AX78" s="2533"/>
    </row>
    <row r="79" spans="1:50" ht="15" customHeight="1">
      <c r="A79" s="2486"/>
      <c r="B79" s="2486"/>
      <c r="C79" s="2486"/>
      <c r="D79" s="2486"/>
      <c r="E79" s="2486"/>
      <c r="F79" s="2486"/>
      <c r="G79" s="2486"/>
      <c r="H79" s="2486"/>
      <c r="I79" s="2486"/>
      <c r="J79" s="2305"/>
      <c r="K79" s="2305"/>
      <c r="L79" s="1510"/>
      <c r="M79" s="1510"/>
      <c r="N79" s="503"/>
      <c r="O79" s="503"/>
      <c r="P79" s="261">
        <v>1000</v>
      </c>
      <c r="Q79" s="1517">
        <f>16*R79</f>
        <v>35.273368606701936</v>
      </c>
      <c r="R79" s="1517">
        <f>P79/(1000*0.4536)</f>
        <v>2.204585537918871</v>
      </c>
      <c r="S79" s="3232" t="str">
        <f>INT(Q79/16)&amp;" lb. "&amp;FIXED(Q79-16*INT(Q79/16))&amp;" oz"</f>
        <v>2 lb. 3.27 oz</v>
      </c>
      <c r="T79" s="3233"/>
      <c r="U79" s="1254"/>
      <c r="V79" s="2709">
        <f>(V78+V80)/2</f>
        <v>21.5</v>
      </c>
      <c r="W79" s="2709">
        <f>(W78+W80)/2</f>
        <v>0.83949999999999991</v>
      </c>
      <c r="X79" s="413"/>
      <c r="Y79" s="413"/>
      <c r="Z79" s="413"/>
      <c r="AA79" s="413"/>
      <c r="AB79" s="376"/>
      <c r="AC79" s="413"/>
      <c r="AD79" s="413"/>
      <c r="AE79" s="413"/>
      <c r="AF79" s="413"/>
      <c r="AG79" s="413"/>
      <c r="AH79" s="413"/>
      <c r="AI79" s="413"/>
      <c r="AJ79" s="413"/>
      <c r="AK79" s="413"/>
      <c r="AL79" s="413"/>
      <c r="AM79" s="2348"/>
      <c r="AN79" s="2348"/>
      <c r="AO79" s="2348"/>
      <c r="AP79" s="2348"/>
      <c r="AQ79" s="2348"/>
      <c r="AR79" s="2348"/>
      <c r="AS79" s="2348"/>
      <c r="AT79" s="2348"/>
      <c r="AU79" s="2348"/>
      <c r="AV79" s="2348"/>
      <c r="AW79" s="2348"/>
      <c r="AX79" s="2533"/>
    </row>
    <row r="80" spans="1:50" ht="15" customHeight="1">
      <c r="A80" s="2486"/>
      <c r="B80" s="424"/>
      <c r="C80" s="412"/>
      <c r="D80" s="412"/>
      <c r="E80" s="412"/>
      <c r="F80" s="412"/>
      <c r="G80" s="412"/>
      <c r="H80" s="412"/>
      <c r="I80" s="412"/>
      <c r="J80" s="2525"/>
      <c r="K80" s="2297"/>
      <c r="L80" s="2297"/>
      <c r="M80" s="2297"/>
      <c r="N80" s="2297"/>
      <c r="O80" s="2297"/>
      <c r="P80" s="1510"/>
      <c r="Q80" s="1510"/>
      <c r="R80" s="1510"/>
      <c r="S80" s="1510"/>
      <c r="T80" s="1510"/>
      <c r="U80" s="1510"/>
      <c r="V80" s="2709">
        <v>22</v>
      </c>
      <c r="W80" s="2712">
        <v>0.82699999999999996</v>
      </c>
      <c r="X80" s="413"/>
      <c r="Y80" s="413"/>
      <c r="Z80" s="413"/>
      <c r="AA80" s="413"/>
      <c r="AB80" s="376"/>
      <c r="AC80" s="413"/>
      <c r="AD80" s="413"/>
      <c r="AE80" s="413"/>
      <c r="AF80" s="413"/>
      <c r="AG80" s="413"/>
      <c r="AH80" s="413"/>
      <c r="AI80" s="413"/>
      <c r="AJ80" s="413"/>
      <c r="AK80" s="413"/>
      <c r="AL80" s="413"/>
      <c r="AM80" s="2348"/>
      <c r="AN80" s="2348"/>
      <c r="AO80" s="2348"/>
      <c r="AP80" s="2348"/>
      <c r="AQ80" s="2348"/>
      <c r="AR80" s="2348"/>
      <c r="AS80" s="2348"/>
      <c r="AT80" s="2348"/>
      <c r="AU80" s="2348"/>
      <c r="AV80" s="2348"/>
      <c r="AW80" s="2348"/>
      <c r="AX80" s="2533"/>
    </row>
    <row r="81" spans="1:50" ht="15" customHeight="1">
      <c r="A81" s="2486"/>
      <c r="B81" s="2486"/>
      <c r="C81" s="505"/>
      <c r="D81" s="505"/>
      <c r="E81" s="505"/>
      <c r="F81" s="505"/>
      <c r="G81" s="505"/>
      <c r="H81" s="505"/>
      <c r="I81" s="505"/>
      <c r="J81" s="1254"/>
      <c r="K81" s="2296"/>
      <c r="L81" s="2296"/>
      <c r="M81" s="2296"/>
      <c r="N81" s="2296"/>
      <c r="O81" s="2296"/>
      <c r="P81" s="1513" t="s">
        <v>1533</v>
      </c>
      <c r="Q81" s="35"/>
      <c r="R81" s="35"/>
      <c r="S81" s="35"/>
      <c r="T81" s="35"/>
      <c r="U81" s="1254"/>
      <c r="V81" s="2709">
        <f>(V80+V82)/2</f>
        <v>22.5</v>
      </c>
      <c r="W81" s="2709">
        <f>(W80+W82)/2</f>
        <v>0.8145</v>
      </c>
      <c r="X81" s="413"/>
      <c r="Y81" s="413"/>
      <c r="Z81" s="413"/>
      <c r="AA81" s="413"/>
      <c r="AB81" s="376"/>
      <c r="AC81" s="413"/>
      <c r="AD81" s="413"/>
      <c r="AE81" s="413"/>
      <c r="AF81" s="413"/>
      <c r="AG81" s="413"/>
      <c r="AH81" s="413"/>
      <c r="AI81" s="413"/>
      <c r="AJ81" s="413"/>
      <c r="AK81" s="413"/>
      <c r="AL81" s="413"/>
      <c r="AM81" s="2348"/>
      <c r="AN81" s="2348"/>
      <c r="AO81" s="2348"/>
      <c r="AP81" s="2348"/>
      <c r="AQ81" s="2348"/>
      <c r="AR81" s="2348"/>
      <c r="AS81" s="2348"/>
      <c r="AT81" s="2348"/>
      <c r="AU81" s="2348"/>
      <c r="AV81" s="2348"/>
      <c r="AW81" s="2348"/>
      <c r="AX81" s="2533"/>
    </row>
    <row r="82" spans="1:50" ht="15" customHeight="1">
      <c r="A82" s="2486"/>
      <c r="B82" s="2486"/>
      <c r="C82" s="505"/>
      <c r="D82" s="505"/>
      <c r="E82" s="505"/>
      <c r="F82" s="505"/>
      <c r="G82" s="505"/>
      <c r="H82" s="505"/>
      <c r="I82" s="505"/>
      <c r="J82" s="1420"/>
      <c r="K82" s="3242" t="s">
        <v>362</v>
      </c>
      <c r="L82" s="3242"/>
      <c r="M82" s="3242"/>
      <c r="N82" s="2299"/>
      <c r="O82" s="2298"/>
      <c r="P82" s="2499" t="s">
        <v>181</v>
      </c>
      <c r="Q82" s="2917" t="s">
        <v>1668</v>
      </c>
      <c r="R82" s="2917" t="s">
        <v>1667</v>
      </c>
      <c r="S82" s="2917" t="s">
        <v>1669</v>
      </c>
      <c r="T82" s="2919" t="s">
        <v>1670</v>
      </c>
      <c r="U82" s="1254"/>
      <c r="V82" s="2709">
        <v>23</v>
      </c>
      <c r="W82" s="2712">
        <v>0.80200000000000005</v>
      </c>
      <c r="X82" s="413"/>
      <c r="Y82" s="413"/>
      <c r="Z82" s="413"/>
      <c r="AA82" s="413"/>
      <c r="AB82" s="376"/>
      <c r="AC82" s="413"/>
      <c r="AD82" s="413"/>
      <c r="AE82" s="413"/>
      <c r="AF82" s="413"/>
      <c r="AG82" s="413"/>
      <c r="AH82" s="413"/>
      <c r="AI82" s="413"/>
      <c r="AJ82" s="413"/>
      <c r="AK82" s="413"/>
      <c r="AL82" s="413"/>
      <c r="AM82" s="2348"/>
      <c r="AN82" s="2348"/>
      <c r="AO82" s="2348"/>
      <c r="AP82" s="2348"/>
      <c r="AQ82" s="2348"/>
      <c r="AR82" s="2348"/>
      <c r="AS82" s="2348"/>
      <c r="AT82" s="2348"/>
      <c r="AU82" s="2348"/>
      <c r="AV82" s="2348"/>
      <c r="AW82" s="2348"/>
      <c r="AX82" s="2533"/>
    </row>
    <row r="83" spans="1:50" ht="15" customHeight="1">
      <c r="A83" s="2486"/>
      <c r="B83" s="2486"/>
      <c r="C83" s="505"/>
      <c r="D83" s="505"/>
      <c r="E83" s="505"/>
      <c r="F83" s="505"/>
      <c r="G83" s="505"/>
      <c r="H83" s="505"/>
      <c r="I83" s="505"/>
      <c r="J83" s="2291"/>
      <c r="K83" s="3242"/>
      <c r="L83" s="3242"/>
      <c r="M83" s="3242"/>
      <c r="N83" s="2300"/>
      <c r="O83" s="2304"/>
      <c r="P83" s="1520">
        <v>15</v>
      </c>
      <c r="Q83" s="1521">
        <f>S83*(5/6)</f>
        <v>3.3021609341152853</v>
      </c>
      <c r="R83" s="1526">
        <f>Q83*8</f>
        <v>26.417287472922283</v>
      </c>
      <c r="S83" s="1521">
        <f>P83/3.7854</f>
        <v>3.962593120938342</v>
      </c>
      <c r="T83" s="2920">
        <f>S83*8</f>
        <v>31.700744967506736</v>
      </c>
      <c r="U83" s="1254"/>
      <c r="V83" s="2709">
        <f>(V82+V84)/2</f>
        <v>23.5</v>
      </c>
      <c r="W83" s="2709">
        <f>(W82+W84)/2</f>
        <v>0.79150000000000009</v>
      </c>
      <c r="X83" s="2625"/>
      <c r="Y83" s="2625"/>
      <c r="Z83" s="2625"/>
      <c r="AA83" s="2625"/>
      <c r="AB83" s="2625"/>
      <c r="AC83" s="419"/>
      <c r="AD83" s="420"/>
      <c r="AE83" s="418"/>
      <c r="AF83" s="420"/>
      <c r="AG83" s="420"/>
      <c r="AH83" s="420"/>
      <c r="AI83" s="420"/>
      <c r="AJ83" s="420"/>
      <c r="AK83" s="420"/>
      <c r="AL83" s="420"/>
      <c r="AM83" s="2348"/>
      <c r="AN83" s="2348"/>
      <c r="AO83" s="2348"/>
      <c r="AP83" s="2348"/>
      <c r="AQ83" s="2348"/>
      <c r="AR83" s="2348"/>
      <c r="AS83" s="2348"/>
      <c r="AT83" s="2348"/>
      <c r="AU83" s="2348"/>
      <c r="AV83" s="2348"/>
      <c r="AW83" s="2348"/>
      <c r="AX83" s="2533"/>
    </row>
    <row r="84" spans="1:50" ht="15" customHeight="1">
      <c r="A84" s="2486"/>
      <c r="B84" s="2486"/>
      <c r="C84" s="505"/>
      <c r="D84" s="505"/>
      <c r="E84" s="505"/>
      <c r="F84" s="505"/>
      <c r="G84" s="505"/>
      <c r="H84" s="505"/>
      <c r="I84" s="505"/>
      <c r="J84" s="1420"/>
      <c r="K84" s="3242"/>
      <c r="L84" s="3242"/>
      <c r="M84" s="3242"/>
      <c r="N84" s="2300"/>
      <c r="O84" s="2300"/>
      <c r="P84" s="1332"/>
      <c r="Q84" s="1332"/>
      <c r="R84" s="504"/>
      <c r="S84" s="504"/>
      <c r="T84" s="506"/>
      <c r="U84" s="506"/>
      <c r="V84" s="2709">
        <v>24</v>
      </c>
      <c r="W84" s="2712">
        <v>0.78100000000000003</v>
      </c>
      <c r="X84" s="2625"/>
      <c r="Y84" s="2625"/>
      <c r="Z84" s="2625"/>
      <c r="AA84" s="2625"/>
      <c r="AB84" s="2625"/>
      <c r="AC84" s="419"/>
      <c r="AD84" s="420"/>
      <c r="AE84" s="418"/>
      <c r="AF84" s="420"/>
      <c r="AG84" s="420"/>
      <c r="AH84" s="420"/>
      <c r="AI84" s="420"/>
      <c r="AJ84" s="420"/>
      <c r="AK84" s="420"/>
      <c r="AL84" s="420"/>
      <c r="AM84" s="2348"/>
      <c r="AN84" s="2348"/>
      <c r="AO84" s="2348"/>
      <c r="AP84" s="2348"/>
      <c r="AQ84" s="2348"/>
      <c r="AR84" s="2348"/>
      <c r="AS84" s="2348"/>
      <c r="AT84" s="2348"/>
      <c r="AU84" s="2348"/>
      <c r="AV84" s="2348"/>
      <c r="AW84" s="2348"/>
      <c r="AX84" s="2533"/>
    </row>
    <row r="85" spans="1:50" ht="15" customHeight="1">
      <c r="A85" s="2486"/>
      <c r="B85" s="2486"/>
      <c r="C85" s="505"/>
      <c r="D85" s="505"/>
      <c r="E85" s="505"/>
      <c r="F85" s="505"/>
      <c r="G85" s="505"/>
      <c r="H85" s="505"/>
      <c r="I85" s="505"/>
      <c r="J85" s="1332"/>
      <c r="K85" s="3242"/>
      <c r="L85" s="3242"/>
      <c r="M85" s="3242"/>
      <c r="N85" s="1332"/>
      <c r="O85" s="1332"/>
      <c r="P85" s="258" t="s">
        <v>1666</v>
      </c>
      <c r="Q85" s="258" t="s">
        <v>1665</v>
      </c>
      <c r="R85" s="258" t="s">
        <v>181</v>
      </c>
      <c r="S85" s="504"/>
      <c r="T85" s="506"/>
      <c r="U85" s="506"/>
      <c r="V85" s="2709">
        <f>(V84+V86)/2</f>
        <v>24.5</v>
      </c>
      <c r="W85" s="2709">
        <f>(W84+W86)/2</f>
        <v>0.77</v>
      </c>
      <c r="X85" s="2625"/>
      <c r="Y85" s="2625"/>
      <c r="Z85" s="2625"/>
      <c r="AA85" s="2625"/>
      <c r="AB85" s="2625"/>
      <c r="AC85" s="419"/>
      <c r="AD85" s="420"/>
      <c r="AE85" s="418"/>
      <c r="AF85" s="420"/>
      <c r="AG85" s="420"/>
      <c r="AH85" s="420"/>
      <c r="AI85" s="420"/>
      <c r="AJ85" s="420"/>
      <c r="AK85" s="420"/>
      <c r="AL85" s="420"/>
      <c r="AM85" s="2348"/>
      <c r="AN85" s="2348"/>
      <c r="AO85" s="2348"/>
      <c r="AP85" s="2348"/>
      <c r="AQ85" s="2348"/>
      <c r="AR85" s="2348"/>
      <c r="AS85" s="2348"/>
      <c r="AT85" s="2348"/>
      <c r="AU85" s="2348"/>
      <c r="AV85" s="2348"/>
      <c r="AW85" s="2348"/>
      <c r="AX85" s="2533"/>
    </row>
    <row r="86" spans="1:50" ht="15" customHeight="1">
      <c r="A86" s="2486"/>
      <c r="B86" s="2486"/>
      <c r="C86" s="505"/>
      <c r="D86" s="505"/>
      <c r="E86" s="505"/>
      <c r="F86" s="505"/>
      <c r="G86" s="505"/>
      <c r="H86" s="505"/>
      <c r="I86" s="505"/>
      <c r="J86" s="1332"/>
      <c r="K86" s="1332"/>
      <c r="L86" s="1332"/>
      <c r="M86" s="1332"/>
      <c r="N86" s="1332"/>
      <c r="O86" s="1332"/>
      <c r="P86" s="261">
        <v>40</v>
      </c>
      <c r="Q86" s="260">
        <f>P86*(6/5)</f>
        <v>48</v>
      </c>
      <c r="R86" s="260">
        <f>3.7854*Q86/8</f>
        <v>22.712400000000002</v>
      </c>
      <c r="S86" s="504"/>
      <c r="T86" s="506"/>
      <c r="U86" s="506"/>
      <c r="V86" s="2709">
        <v>25</v>
      </c>
      <c r="W86" s="2712">
        <v>0.75900000000000001</v>
      </c>
      <c r="X86" s="2625"/>
      <c r="Y86" s="2625"/>
      <c r="Z86" s="2625"/>
      <c r="AA86" s="2625"/>
      <c r="AB86" s="2625"/>
      <c r="AC86" s="419"/>
      <c r="AD86" s="420"/>
      <c r="AE86" s="418"/>
      <c r="AF86" s="420"/>
      <c r="AG86" s="420"/>
      <c r="AH86" s="420"/>
      <c r="AI86" s="420"/>
      <c r="AJ86" s="420"/>
      <c r="AK86" s="420"/>
      <c r="AL86" s="420"/>
      <c r="AM86" s="2348"/>
      <c r="AN86" s="2348"/>
      <c r="AO86" s="2348"/>
      <c r="AP86" s="2348"/>
      <c r="AQ86" s="2348"/>
      <c r="AR86" s="2348"/>
      <c r="AS86" s="2348"/>
      <c r="AT86" s="2348"/>
      <c r="AU86" s="2348"/>
      <c r="AV86" s="2348"/>
      <c r="AW86" s="2348"/>
      <c r="AX86" s="2533"/>
    </row>
    <row r="87" spans="1:50" ht="15" customHeight="1">
      <c r="A87" s="2486"/>
      <c r="B87" s="2486"/>
      <c r="C87" s="505"/>
      <c r="D87" s="505"/>
      <c r="E87" s="505"/>
      <c r="F87" s="505"/>
      <c r="G87" s="505"/>
      <c r="H87" s="505"/>
      <c r="I87" s="505"/>
      <c r="J87" s="1332"/>
      <c r="K87" s="1332"/>
      <c r="L87" s="1332"/>
      <c r="M87" s="1332"/>
      <c r="N87" s="1332"/>
      <c r="O87" s="1332"/>
      <c r="P87" s="1254"/>
      <c r="Q87" s="29"/>
      <c r="R87" s="1254"/>
      <c r="S87" s="504"/>
      <c r="T87" s="506"/>
      <c r="U87" s="506"/>
      <c r="V87" s="2709">
        <f>(V86+V88)/2</f>
        <v>25.5</v>
      </c>
      <c r="W87" s="2709">
        <f>(W86+W88)/2</f>
        <v>0.74849999999999994</v>
      </c>
      <c r="X87" s="2625"/>
      <c r="Y87" s="2625"/>
      <c r="Z87" s="2625"/>
      <c r="AA87" s="2625"/>
      <c r="AB87" s="2625"/>
      <c r="AC87" s="419"/>
      <c r="AD87" s="420"/>
      <c r="AE87" s="418"/>
      <c r="AF87" s="420"/>
      <c r="AG87" s="420"/>
      <c r="AH87" s="420"/>
      <c r="AI87" s="420"/>
      <c r="AJ87" s="420"/>
      <c r="AK87" s="420"/>
      <c r="AL87" s="420"/>
      <c r="AM87" s="2348"/>
      <c r="AN87" s="2348"/>
      <c r="AO87" s="2348"/>
      <c r="AP87" s="2348"/>
      <c r="AQ87" s="2348"/>
      <c r="AR87" s="2348"/>
      <c r="AS87" s="2348"/>
      <c r="AT87" s="2348"/>
      <c r="AU87" s="2348"/>
      <c r="AV87" s="2348"/>
      <c r="AW87" s="2348"/>
      <c r="AX87" s="2533"/>
    </row>
    <row r="88" spans="1:50" ht="15" customHeight="1">
      <c r="A88" s="2486"/>
      <c r="B88" s="2486"/>
      <c r="C88" s="505"/>
      <c r="D88" s="505"/>
      <c r="E88" s="505"/>
      <c r="F88" s="505"/>
      <c r="G88" s="505"/>
      <c r="H88" s="505"/>
      <c r="I88" s="505"/>
      <c r="J88" s="1332"/>
      <c r="K88" s="1332"/>
      <c r="L88" s="1332"/>
      <c r="M88" s="1332"/>
      <c r="N88" s="1332"/>
      <c r="O88" s="1332"/>
      <c r="P88" s="258" t="s">
        <v>1665</v>
      </c>
      <c r="Q88" s="258" t="s">
        <v>1666</v>
      </c>
      <c r="R88" s="258" t="s">
        <v>181</v>
      </c>
      <c r="S88" s="504"/>
      <c r="T88" s="506"/>
      <c r="U88" s="506"/>
      <c r="V88" s="2709">
        <v>26</v>
      </c>
      <c r="W88" s="2712">
        <v>0.73799999999999999</v>
      </c>
      <c r="X88" s="2625"/>
      <c r="Y88" s="2625"/>
      <c r="Z88" s="2625"/>
      <c r="AA88" s="2625"/>
      <c r="AB88" s="2625"/>
      <c r="AC88" s="419"/>
      <c r="AD88" s="420"/>
      <c r="AE88" s="418"/>
      <c r="AF88" s="420"/>
      <c r="AG88" s="420"/>
      <c r="AH88" s="420"/>
      <c r="AI88" s="420"/>
      <c r="AJ88" s="420"/>
      <c r="AK88" s="420"/>
      <c r="AL88" s="420"/>
      <c r="AM88" s="2348"/>
      <c r="AN88" s="2348"/>
      <c r="AO88" s="2348"/>
      <c r="AP88" s="2348"/>
      <c r="AQ88" s="2348"/>
      <c r="AR88" s="2348"/>
      <c r="AS88" s="2348"/>
      <c r="AT88" s="2348"/>
      <c r="AU88" s="2348"/>
      <c r="AV88" s="2348"/>
      <c r="AW88" s="2348"/>
      <c r="AX88" s="2533"/>
    </row>
    <row r="89" spans="1:50" ht="15" customHeight="1">
      <c r="A89" s="2486"/>
      <c r="B89" s="2486"/>
      <c r="C89" s="505"/>
      <c r="D89" s="505"/>
      <c r="E89" s="505"/>
      <c r="F89" s="505"/>
      <c r="G89" s="505"/>
      <c r="H89" s="505"/>
      <c r="I89" s="505"/>
      <c r="J89" s="1332"/>
      <c r="K89" s="1332"/>
      <c r="L89" s="1332"/>
      <c r="M89" s="1332"/>
      <c r="N89" s="1332"/>
      <c r="O89" s="1332"/>
      <c r="P89" s="261">
        <v>48</v>
      </c>
      <c r="Q89" s="260">
        <f>P89*(5/6)</f>
        <v>40</v>
      </c>
      <c r="R89" s="260">
        <f>3.7854*P89/8</f>
        <v>22.712400000000002</v>
      </c>
      <c r="S89" s="504"/>
      <c r="T89" s="506"/>
      <c r="U89" s="506"/>
      <c r="V89" s="2709">
        <v>27</v>
      </c>
      <c r="W89" s="2712">
        <v>0.71799999999999997</v>
      </c>
      <c r="X89" s="2625"/>
      <c r="Y89" s="2625"/>
      <c r="Z89" s="2625"/>
      <c r="AA89" s="2625"/>
      <c r="AB89" s="2625"/>
      <c r="AC89" s="419"/>
      <c r="AD89" s="420"/>
      <c r="AE89" s="418"/>
      <c r="AF89" s="420"/>
      <c r="AG89" s="420"/>
      <c r="AH89" s="420"/>
      <c r="AI89" s="420"/>
      <c r="AJ89" s="420"/>
      <c r="AK89" s="420"/>
      <c r="AL89" s="420"/>
      <c r="AM89" s="2348"/>
      <c r="AN89" s="2348"/>
      <c r="AO89" s="2348"/>
      <c r="AP89" s="2348"/>
      <c r="AQ89" s="2348"/>
      <c r="AR89" s="2348"/>
      <c r="AS89" s="2348"/>
      <c r="AT89" s="2348"/>
      <c r="AU89" s="2348"/>
      <c r="AV89" s="2348"/>
      <c r="AW89" s="2348"/>
      <c r="AX89" s="2533"/>
    </row>
    <row r="90" spans="1:50" ht="15" customHeight="1">
      <c r="A90" s="2486"/>
      <c r="B90" s="2486"/>
      <c r="C90" s="507"/>
      <c r="D90" s="507"/>
      <c r="E90" s="507"/>
      <c r="F90" s="507"/>
      <c r="G90" s="507"/>
      <c r="H90" s="507"/>
      <c r="I90" s="507"/>
      <c r="J90" s="1332"/>
      <c r="K90" s="1934"/>
      <c r="L90" s="1934"/>
      <c r="M90" s="1934"/>
      <c r="N90" s="287"/>
      <c r="O90" s="287"/>
      <c r="P90" s="287"/>
      <c r="Q90" s="287"/>
      <c r="R90" s="2613"/>
      <c r="S90" s="2613"/>
      <c r="T90" s="2613"/>
      <c r="U90" s="2613"/>
      <c r="V90" s="2709">
        <v>28</v>
      </c>
      <c r="W90" s="2712">
        <v>0.69899999999999995</v>
      </c>
      <c r="X90" s="304"/>
      <c r="Y90" s="304"/>
      <c r="Z90" s="304"/>
      <c r="AA90" s="304"/>
      <c r="AB90" s="304"/>
      <c r="AC90" s="419"/>
      <c r="AD90" s="420"/>
      <c r="AE90" s="418"/>
      <c r="AF90" s="420"/>
      <c r="AG90" s="420"/>
      <c r="AH90" s="420"/>
      <c r="AI90" s="420"/>
      <c r="AJ90" s="420"/>
      <c r="AK90" s="420"/>
      <c r="AL90" s="420"/>
      <c r="AM90" s="2348"/>
      <c r="AN90" s="2348"/>
      <c r="AO90" s="2348"/>
      <c r="AP90" s="2348"/>
      <c r="AQ90" s="2348"/>
      <c r="AR90" s="2348"/>
      <c r="AS90" s="2348"/>
      <c r="AT90" s="2348"/>
      <c r="AU90" s="2348"/>
      <c r="AV90" s="2348"/>
      <c r="AW90" s="2348"/>
      <c r="AX90" s="2533"/>
    </row>
    <row r="91" spans="1:50" ht="15" customHeight="1">
      <c r="A91" s="2486"/>
      <c r="B91" s="2486"/>
      <c r="C91" s="507"/>
      <c r="D91" s="507"/>
      <c r="E91" s="507"/>
      <c r="F91" s="507"/>
      <c r="G91" s="507"/>
      <c r="H91" s="507"/>
      <c r="I91" s="507"/>
      <c r="J91" s="508"/>
      <c r="K91" s="1545"/>
      <c r="L91" s="1545"/>
      <c r="M91" s="1545"/>
      <c r="N91" s="3691"/>
      <c r="O91" s="3691"/>
      <c r="P91" s="3691"/>
      <c r="Q91" s="3691"/>
      <c r="R91" s="3692" t="s">
        <v>1040</v>
      </c>
      <c r="S91" s="3692"/>
      <c r="T91" s="3692"/>
      <c r="U91" s="2624"/>
      <c r="V91" s="2709">
        <v>29</v>
      </c>
      <c r="W91" s="2711">
        <v>0.68200000000000005</v>
      </c>
      <c r="X91" s="304"/>
      <c r="Y91" s="304"/>
      <c r="Z91" s="304"/>
      <c r="AA91" s="304"/>
      <c r="AB91" s="304"/>
      <c r="AC91" s="419"/>
      <c r="AD91" s="420"/>
      <c r="AE91" s="418"/>
      <c r="AF91" s="420"/>
      <c r="AG91" s="420"/>
      <c r="AH91" s="420"/>
      <c r="AI91" s="420"/>
      <c r="AJ91" s="420"/>
      <c r="AK91" s="420"/>
      <c r="AL91" s="420"/>
      <c r="AM91" s="2348"/>
      <c r="AN91" s="2348"/>
      <c r="AO91" s="2348"/>
      <c r="AP91" s="2348"/>
      <c r="AQ91" s="2348"/>
      <c r="AR91" s="2348"/>
      <c r="AS91" s="2348"/>
      <c r="AT91" s="2348"/>
      <c r="AU91" s="2348"/>
      <c r="AV91" s="2348"/>
      <c r="AW91" s="2348"/>
      <c r="AX91" s="2533"/>
    </row>
    <row r="92" spans="1:50" ht="15" customHeight="1">
      <c r="A92" s="2486"/>
      <c r="B92" s="2486"/>
      <c r="C92" s="507"/>
      <c r="D92" s="507"/>
      <c r="E92" s="507"/>
      <c r="F92" s="507"/>
      <c r="G92" s="507"/>
      <c r="H92" s="507"/>
      <c r="I92" s="507"/>
      <c r="J92" s="1510"/>
      <c r="K92" s="1545"/>
      <c r="L92" s="1545"/>
      <c r="M92" s="1545"/>
      <c r="N92" s="3693" t="s">
        <v>1115</v>
      </c>
      <c r="O92" s="3693"/>
      <c r="P92" s="3693"/>
      <c r="Q92" s="3693"/>
      <c r="R92" s="3066" t="s">
        <v>976</v>
      </c>
      <c r="S92" s="3066"/>
      <c r="T92" s="3066"/>
      <c r="U92" s="2612"/>
      <c r="V92" s="2709">
        <v>30</v>
      </c>
      <c r="W92" s="2711">
        <v>0.66500000000000004</v>
      </c>
      <c r="X92" s="304"/>
      <c r="Y92" s="304"/>
      <c r="Z92" s="304"/>
      <c r="AA92" s="304"/>
      <c r="AB92" s="304"/>
      <c r="AC92" s="304"/>
      <c r="AD92" s="1704"/>
      <c r="AE92" s="1704"/>
      <c r="AF92" s="1704"/>
      <c r="AG92" s="1704"/>
      <c r="AH92" s="1704"/>
      <c r="AI92" s="1704"/>
      <c r="AJ92" s="1704"/>
      <c r="AK92" s="376"/>
      <c r="AL92" s="304"/>
      <c r="AM92" s="2348"/>
      <c r="AN92" s="2348"/>
      <c r="AO92" s="2348"/>
      <c r="AP92" s="2348"/>
      <c r="AQ92" s="2348"/>
      <c r="AR92" s="2348"/>
      <c r="AS92" s="2348"/>
      <c r="AT92" s="2348"/>
      <c r="AU92" s="2348"/>
      <c r="AV92" s="2348"/>
      <c r="AW92" s="2348"/>
      <c r="AX92" s="2533"/>
    </row>
    <row r="93" spans="1:50" ht="15" customHeight="1">
      <c r="A93" s="2486"/>
      <c r="B93" s="505"/>
      <c r="C93" s="505"/>
      <c r="D93" s="505"/>
      <c r="E93" s="505"/>
      <c r="F93" s="505"/>
      <c r="G93" s="505"/>
      <c r="H93" s="505"/>
      <c r="I93" s="505"/>
      <c r="J93" s="505"/>
      <c r="K93" s="1545"/>
      <c r="L93" s="1545"/>
      <c r="M93" s="1545"/>
      <c r="N93" s="3693" t="s">
        <v>189</v>
      </c>
      <c r="O93" s="3693"/>
      <c r="P93" s="3693"/>
      <c r="Q93" s="3693"/>
      <c r="R93" s="3066" t="s">
        <v>190</v>
      </c>
      <c r="S93" s="3066"/>
      <c r="T93" s="3066"/>
      <c r="U93" s="2612"/>
      <c r="V93" s="304"/>
      <c r="W93" s="304"/>
      <c r="X93" s="509"/>
      <c r="Y93" s="509"/>
      <c r="Z93" s="509"/>
      <c r="AA93" s="509"/>
      <c r="AB93" s="509"/>
      <c r="AC93" s="304"/>
      <c r="AD93" s="510"/>
      <c r="AE93" s="1704"/>
      <c r="AF93" s="1704"/>
      <c r="AG93" s="1704"/>
      <c r="AH93" s="1704"/>
      <c r="AI93" s="1704"/>
      <c r="AJ93" s="1704"/>
      <c r="AK93" s="376"/>
      <c r="AL93" s="304"/>
      <c r="AM93" s="2348"/>
      <c r="AN93" s="2348"/>
      <c r="AO93" s="2348"/>
      <c r="AP93" s="2348"/>
      <c r="AQ93" s="2348"/>
      <c r="AR93" s="2348"/>
      <c r="AS93" s="2348"/>
      <c r="AT93" s="2348"/>
      <c r="AU93" s="2348"/>
      <c r="AV93" s="2348"/>
      <c r="AW93" s="2348"/>
      <c r="AX93" s="2533"/>
    </row>
    <row r="94" spans="1:50" ht="17.25" customHeight="1">
      <c r="A94" s="2486"/>
      <c r="B94" s="3714" t="s">
        <v>1041</v>
      </c>
      <c r="C94" s="3714"/>
      <c r="D94" s="3714"/>
      <c r="E94" s="3714"/>
      <c r="F94" s="3714"/>
      <c r="G94" s="3714"/>
      <c r="H94" s="3714"/>
      <c r="I94" s="3714"/>
      <c r="J94" s="2486"/>
      <c r="K94" s="1545"/>
      <c r="L94" s="1545"/>
      <c r="M94" s="1545"/>
      <c r="N94" s="3715" t="s">
        <v>156</v>
      </c>
      <c r="O94" s="3715"/>
      <c r="P94" s="3715"/>
      <c r="Q94" s="3715"/>
      <c r="R94" s="3251" t="s">
        <v>157</v>
      </c>
      <c r="S94" s="3251"/>
      <c r="T94" s="3251"/>
      <c r="U94" s="2617"/>
      <c r="V94" s="304"/>
      <c r="W94" s="304"/>
      <c r="X94" s="509"/>
      <c r="Y94" s="509"/>
      <c r="Z94" s="509"/>
      <c r="AA94" s="509"/>
      <c r="AB94" s="509"/>
      <c r="AC94" s="509"/>
      <c r="AD94" s="510"/>
      <c r="AE94" s="1704"/>
      <c r="AF94" s="1704"/>
      <c r="AG94" s="1704"/>
      <c r="AH94" s="1704"/>
      <c r="AI94" s="1704"/>
      <c r="AJ94" s="1704"/>
      <c r="AK94" s="376"/>
      <c r="AL94" s="304"/>
      <c r="AM94" s="2348"/>
      <c r="AN94" s="2348"/>
      <c r="AO94" s="2348"/>
      <c r="AP94" s="2348"/>
      <c r="AQ94" s="2348"/>
      <c r="AR94" s="2348"/>
      <c r="AS94" s="2348"/>
      <c r="AT94" s="2348"/>
      <c r="AU94" s="2348"/>
      <c r="AV94" s="2348"/>
      <c r="AW94" s="2348"/>
      <c r="AX94" s="2533"/>
    </row>
    <row r="95" spans="1:50" ht="14.25" customHeight="1">
      <c r="A95" s="2486"/>
      <c r="B95" s="2486"/>
      <c r="C95" s="2486"/>
      <c r="D95" s="2486"/>
      <c r="E95" s="2486"/>
      <c r="F95" s="2486"/>
      <c r="G95" s="2486"/>
      <c r="H95" s="2486"/>
      <c r="I95" s="2486"/>
      <c r="J95" s="2486"/>
      <c r="K95" s="2486"/>
      <c r="L95" s="2486"/>
      <c r="M95" s="2486"/>
      <c r="N95" s="2486"/>
      <c r="O95" s="2486"/>
      <c r="P95" s="2486"/>
      <c r="Q95" s="2486"/>
      <c r="R95" s="2613"/>
      <c r="S95" s="2613"/>
      <c r="T95" s="2613"/>
      <c r="U95" s="2613"/>
      <c r="V95" s="304"/>
      <c r="W95" s="304"/>
      <c r="X95" s="509"/>
      <c r="Y95" s="509"/>
      <c r="Z95" s="509"/>
      <c r="AA95" s="509"/>
      <c r="AB95" s="509"/>
      <c r="AC95" s="509"/>
      <c r="AD95" s="510"/>
      <c r="AE95" s="1704"/>
      <c r="AF95" s="1704"/>
      <c r="AG95" s="1704"/>
      <c r="AH95" s="1704"/>
      <c r="AI95" s="1704"/>
      <c r="AJ95" s="1704"/>
      <c r="AK95" s="376"/>
      <c r="AL95" s="304"/>
      <c r="AM95" s="2348"/>
      <c r="AN95" s="2348"/>
      <c r="AO95" s="2348"/>
      <c r="AP95" s="2348"/>
      <c r="AQ95" s="2348"/>
      <c r="AR95" s="2348"/>
      <c r="AS95" s="2348"/>
      <c r="AT95" s="2348"/>
      <c r="AU95" s="2348"/>
      <c r="AV95" s="2348"/>
      <c r="AW95" s="2348"/>
      <c r="AX95" s="2533"/>
    </row>
    <row r="96" spans="1:50" ht="15" customHeight="1">
      <c r="A96" s="304"/>
      <c r="B96" s="3716" t="s">
        <v>303</v>
      </c>
      <c r="C96" s="3716"/>
      <c r="D96" s="2538"/>
      <c r="E96" s="2538"/>
      <c r="F96" s="248"/>
      <c r="G96" s="2486"/>
      <c r="H96" s="2486"/>
      <c r="I96" s="2486"/>
      <c r="J96" s="2486"/>
      <c r="K96" s="2486"/>
      <c r="L96" s="2486"/>
      <c r="M96" s="2486"/>
      <c r="N96" s="2486"/>
      <c r="O96" s="2486"/>
      <c r="P96" s="2486"/>
      <c r="Q96" s="2486"/>
      <c r="R96" s="2613"/>
      <c r="S96" s="2613"/>
      <c r="T96" s="2613"/>
      <c r="U96" s="2613"/>
      <c r="V96" s="2613"/>
      <c r="W96" s="2613"/>
      <c r="X96" s="2613"/>
      <c r="Y96" s="2613"/>
      <c r="Z96" s="2613"/>
      <c r="AA96" s="2613"/>
      <c r="AB96" s="2613"/>
      <c r="AC96" s="2613"/>
      <c r="AD96" s="2613"/>
      <c r="AE96" s="2613"/>
      <c r="AF96" s="2613"/>
      <c r="AG96" s="2613"/>
      <c r="AH96" s="2613"/>
      <c r="AI96" s="2613"/>
      <c r="AJ96" s="2613"/>
      <c r="AK96" s="2613"/>
      <c r="AL96" s="2613"/>
      <c r="AM96" s="2348"/>
      <c r="AN96" s="2348"/>
      <c r="AO96" s="2348"/>
      <c r="AP96" s="2348"/>
      <c r="AQ96" s="2348"/>
      <c r="AR96" s="2348"/>
      <c r="AS96" s="2348"/>
      <c r="AT96" s="2348"/>
      <c r="AU96" s="2348"/>
      <c r="AV96" s="2348"/>
      <c r="AW96" s="2348"/>
      <c r="AX96" s="2533"/>
    </row>
    <row r="97" spans="1:50">
      <c r="A97" s="304"/>
      <c r="B97" s="511"/>
      <c r="C97" s="3718" t="s">
        <v>258</v>
      </c>
      <c r="D97" s="3719"/>
      <c r="E97" s="3719"/>
      <c r="F97" s="3718"/>
      <c r="G97" s="3718"/>
      <c r="H97" s="3720"/>
      <c r="I97" s="2537"/>
      <c r="J97" s="512"/>
      <c r="K97" s="304"/>
      <c r="L97" s="3721" t="s">
        <v>1116</v>
      </c>
      <c r="M97" s="3721"/>
      <c r="N97" s="304"/>
      <c r="O97" s="304"/>
      <c r="P97" s="304"/>
      <c r="Q97" s="304"/>
      <c r="R97" s="304"/>
      <c r="S97" s="304"/>
      <c r="T97" s="304"/>
      <c r="U97" s="304"/>
      <c r="V97" s="304"/>
      <c r="W97" s="304"/>
      <c r="X97" s="304"/>
      <c r="Y97" s="304"/>
      <c r="Z97" s="304"/>
      <c r="AA97" s="304"/>
      <c r="AB97" s="304"/>
      <c r="AC97" s="304"/>
      <c r="AD97" s="304"/>
      <c r="AE97" s="304"/>
      <c r="AF97" s="304"/>
      <c r="AG97" s="304"/>
      <c r="AH97" s="304"/>
      <c r="AI97" s="304"/>
      <c r="AJ97" s="304"/>
      <c r="AK97" s="304"/>
      <c r="AL97" s="304"/>
      <c r="AM97" s="2348"/>
      <c r="AN97" s="2348"/>
      <c r="AO97" s="2348"/>
      <c r="AP97" s="2348"/>
      <c r="AQ97" s="2348"/>
      <c r="AR97" s="2348"/>
      <c r="AS97" s="2348"/>
      <c r="AT97" s="2348"/>
      <c r="AU97" s="2348"/>
      <c r="AV97" s="2348"/>
      <c r="AW97" s="2348"/>
      <c r="AX97" s="2533"/>
    </row>
    <row r="98" spans="1:50">
      <c r="A98" s="304"/>
      <c r="B98" s="3708" t="s">
        <v>1086</v>
      </c>
      <c r="C98" s="3708"/>
      <c r="D98" s="1707"/>
      <c r="E98" s="1707"/>
      <c r="F98" s="513" t="s">
        <v>203</v>
      </c>
      <c r="G98" s="514" t="s">
        <v>1117</v>
      </c>
      <c r="H98" s="513" t="s">
        <v>205</v>
      </c>
      <c r="I98" s="304"/>
      <c r="J98" s="1546"/>
      <c r="K98" s="304"/>
      <c r="L98" s="338">
        <v>0.04</v>
      </c>
      <c r="M98" s="338">
        <v>4.1500000000000004</v>
      </c>
      <c r="N98" s="3038" t="s">
        <v>642</v>
      </c>
      <c r="O98" s="3038"/>
      <c r="P98" s="304"/>
      <c r="Q98" s="304"/>
      <c r="R98" s="304"/>
      <c r="S98" s="304"/>
      <c r="T98" s="304"/>
      <c r="U98" s="304"/>
      <c r="V98" s="304"/>
      <c r="W98" s="304"/>
      <c r="X98" s="304"/>
      <c r="Y98" s="304"/>
      <c r="Z98" s="304"/>
      <c r="AA98" s="304"/>
      <c r="AB98" s="304"/>
      <c r="AC98" s="304"/>
      <c r="AD98" s="304"/>
      <c r="AE98" s="304"/>
      <c r="AF98" s="304"/>
      <c r="AG98" s="304"/>
      <c r="AH98" s="304"/>
      <c r="AI98" s="304"/>
      <c r="AJ98" s="304"/>
      <c r="AK98" s="304"/>
      <c r="AL98" s="304"/>
      <c r="AM98" s="2348"/>
      <c r="AN98" s="2348"/>
      <c r="AO98" s="2348"/>
      <c r="AP98" s="2348"/>
      <c r="AQ98" s="2348"/>
      <c r="AR98" s="2348"/>
      <c r="AS98" s="2348"/>
      <c r="AT98" s="2348"/>
      <c r="AU98" s="2348"/>
      <c r="AV98" s="2348"/>
      <c r="AW98" s="2348"/>
      <c r="AX98" s="2533"/>
    </row>
    <row r="99" spans="1:50" ht="15.75" customHeight="1">
      <c r="A99" s="304"/>
      <c r="B99" s="2536"/>
      <c r="C99" s="1704"/>
      <c r="D99" s="1704"/>
      <c r="E99" s="1704"/>
      <c r="F99" s="513" t="s">
        <v>213</v>
      </c>
      <c r="G99" s="513" t="s">
        <v>1118</v>
      </c>
      <c r="H99" s="513" t="s">
        <v>215</v>
      </c>
      <c r="I99" s="304"/>
      <c r="J99" s="1546"/>
      <c r="K99" s="304"/>
      <c r="L99" s="273">
        <v>0.04</v>
      </c>
      <c r="M99" s="273">
        <v>4.1500000000000004</v>
      </c>
      <c r="N99" s="3710" t="s">
        <v>644</v>
      </c>
      <c r="O99" s="3710"/>
      <c r="P99" s="304"/>
      <c r="Q99" s="304"/>
      <c r="R99" s="304"/>
      <c r="S99" s="304"/>
      <c r="T99" s="304"/>
      <c r="U99" s="304"/>
      <c r="V99" s="304"/>
      <c r="W99" s="304"/>
      <c r="X99" s="304"/>
      <c r="Y99" s="304"/>
      <c r="Z99" s="304"/>
      <c r="AA99" s="304"/>
      <c r="AB99" s="304"/>
      <c r="AC99" s="304"/>
      <c r="AD99" s="304"/>
      <c r="AE99" s="304"/>
      <c r="AF99" s="304"/>
      <c r="AG99" s="304"/>
      <c r="AH99" s="304"/>
      <c r="AI99" s="304"/>
      <c r="AJ99" s="304"/>
      <c r="AK99" s="304"/>
      <c r="AL99" s="304"/>
      <c r="AM99" s="2348"/>
      <c r="AN99" s="2348"/>
      <c r="AO99" s="2348"/>
      <c r="AP99" s="2348"/>
      <c r="AQ99" s="2348"/>
      <c r="AR99" s="2348"/>
      <c r="AS99" s="2348"/>
      <c r="AT99" s="2348"/>
      <c r="AU99" s="2348"/>
      <c r="AV99" s="2348"/>
      <c r="AW99" s="2348"/>
      <c r="AX99" s="2533"/>
    </row>
    <row r="100" spans="1:50">
      <c r="A100" s="304"/>
      <c r="B100" s="2536"/>
      <c r="C100" s="515" t="s">
        <v>1119</v>
      </c>
      <c r="D100" s="515"/>
      <c r="E100" s="515"/>
      <c r="F100" s="485">
        <f>G100*375/100</f>
        <v>277.5</v>
      </c>
      <c r="G100" s="516">
        <v>74</v>
      </c>
      <c r="H100" s="516">
        <v>6.5</v>
      </c>
      <c r="I100" s="304"/>
      <c r="J100" s="1547"/>
      <c r="K100" s="304"/>
      <c r="L100" s="3711" t="s">
        <v>1120</v>
      </c>
      <c r="M100" s="3711"/>
      <c r="N100" s="3711"/>
      <c r="O100" s="3711"/>
      <c r="P100" s="304"/>
      <c r="Q100" s="304"/>
      <c r="R100" s="304"/>
      <c r="S100" s="304"/>
      <c r="T100" s="304"/>
      <c r="U100" s="304"/>
      <c r="V100" s="304"/>
      <c r="W100" s="304"/>
      <c r="X100" s="304"/>
      <c r="Y100" s="304"/>
      <c r="Z100" s="304"/>
      <c r="AA100" s="304"/>
      <c r="AB100" s="304"/>
      <c r="AC100" s="304"/>
      <c r="AD100" s="304"/>
      <c r="AE100" s="304"/>
      <c r="AF100" s="304"/>
      <c r="AG100" s="304"/>
      <c r="AH100" s="304"/>
      <c r="AI100" s="304"/>
      <c r="AJ100" s="304"/>
      <c r="AK100" s="304"/>
      <c r="AL100" s="304"/>
      <c r="AM100" s="2348"/>
      <c r="AN100" s="2348"/>
      <c r="AO100" s="2348"/>
      <c r="AP100" s="2348"/>
      <c r="AQ100" s="2348"/>
      <c r="AR100" s="2348"/>
      <c r="AS100" s="2348"/>
      <c r="AT100" s="2348"/>
      <c r="AU100" s="2348"/>
      <c r="AV100" s="2348"/>
      <c r="AW100" s="2348"/>
      <c r="AX100" s="2533"/>
    </row>
    <row r="101" spans="1:50" ht="15.75" customHeight="1">
      <c r="A101" s="304"/>
      <c r="B101" s="2536"/>
      <c r="C101" s="517" t="s">
        <v>1121</v>
      </c>
      <c r="D101" s="517"/>
      <c r="E101" s="517"/>
      <c r="F101" s="485">
        <f>G101*375/100</f>
        <v>262.5</v>
      </c>
      <c r="G101" s="516">
        <v>70</v>
      </c>
      <c r="H101" s="516">
        <v>4</v>
      </c>
      <c r="I101" s="304"/>
      <c r="J101" s="1547"/>
      <c r="K101" s="304"/>
      <c r="L101" s="413"/>
      <c r="M101" s="413"/>
      <c r="N101" s="413"/>
      <c r="O101" s="413"/>
      <c r="P101" s="304"/>
      <c r="Q101" s="304"/>
      <c r="R101" s="304"/>
      <c r="S101" s="304"/>
      <c r="T101" s="304"/>
      <c r="U101" s="304"/>
      <c r="V101" s="304"/>
      <c r="W101" s="304"/>
      <c r="X101" s="304"/>
      <c r="Y101" s="304"/>
      <c r="Z101" s="304"/>
      <c r="AA101" s="304"/>
      <c r="AB101" s="304"/>
      <c r="AC101" s="304"/>
      <c r="AD101" s="304"/>
      <c r="AE101" s="304"/>
      <c r="AF101" s="304"/>
      <c r="AG101" s="304"/>
      <c r="AH101" s="304"/>
      <c r="AI101" s="304"/>
      <c r="AJ101" s="304"/>
      <c r="AK101" s="304"/>
      <c r="AL101" s="304"/>
      <c r="AM101" s="2175"/>
      <c r="AN101" s="2175"/>
      <c r="AO101" s="2175"/>
      <c r="AP101" s="2175"/>
      <c r="AQ101" s="2175"/>
      <c r="AR101" s="2175"/>
      <c r="AS101" s="2175"/>
      <c r="AT101" s="2175"/>
      <c r="AU101" s="2351"/>
      <c r="AV101" s="2175"/>
      <c r="AW101" s="2348"/>
      <c r="AX101" s="2533"/>
    </row>
    <row r="102" spans="1:50" ht="15.75">
      <c r="A102" s="304"/>
      <c r="B102" s="2536"/>
      <c r="C102" s="518" t="s">
        <v>1122</v>
      </c>
      <c r="D102" s="518"/>
      <c r="E102" s="518"/>
      <c r="F102" s="485">
        <f>G102*375/100</f>
        <v>293.625</v>
      </c>
      <c r="G102" s="516">
        <v>78.3</v>
      </c>
      <c r="H102" s="516">
        <v>2</v>
      </c>
      <c r="I102" s="304"/>
      <c r="J102" s="1547"/>
      <c r="K102" s="304"/>
      <c r="L102" s="3712" t="s">
        <v>188</v>
      </c>
      <c r="M102" s="3712"/>
      <c r="N102" s="304"/>
      <c r="O102" s="304"/>
      <c r="P102" s="304"/>
      <c r="Q102" s="304"/>
      <c r="R102" s="304"/>
      <c r="S102" s="304"/>
      <c r="T102" s="304"/>
      <c r="U102" s="304"/>
      <c r="V102" s="304"/>
      <c r="W102" s="304"/>
      <c r="X102" s="304"/>
      <c r="Y102" s="304"/>
      <c r="Z102" s="304"/>
      <c r="AA102" s="304"/>
      <c r="AB102" s="304"/>
      <c r="AC102" s="304"/>
      <c r="AD102" s="304"/>
      <c r="AE102" s="304"/>
      <c r="AF102" s="304"/>
      <c r="AG102" s="304"/>
      <c r="AH102" s="304"/>
      <c r="AI102" s="304"/>
      <c r="AJ102" s="304"/>
      <c r="AK102" s="304"/>
      <c r="AL102" s="304"/>
      <c r="AM102" s="2175"/>
      <c r="AN102" s="2175"/>
      <c r="AO102" s="2175"/>
      <c r="AP102" s="2175"/>
      <c r="AQ102" s="2175"/>
      <c r="AR102" s="2175"/>
      <c r="AS102" s="2175"/>
      <c r="AT102" s="2175"/>
      <c r="AU102" s="2351"/>
      <c r="AV102" s="2175"/>
      <c r="AW102" s="2348"/>
      <c r="AX102" s="2533"/>
    </row>
    <row r="103" spans="1:50" ht="15.75">
      <c r="A103" s="304"/>
      <c r="B103" s="2536"/>
      <c r="C103" s="519" t="s">
        <v>684</v>
      </c>
      <c r="D103" s="519"/>
      <c r="E103" s="519"/>
      <c r="F103" s="520"/>
      <c r="G103" s="520"/>
      <c r="H103" s="520"/>
      <c r="I103" s="304"/>
      <c r="J103" s="1546"/>
      <c r="K103" s="304"/>
      <c r="L103" s="3713" t="s">
        <v>604</v>
      </c>
      <c r="M103" s="3713"/>
      <c r="N103" s="1973"/>
      <c r="O103" s="304"/>
      <c r="P103" s="304"/>
      <c r="Q103" s="304"/>
      <c r="R103" s="304"/>
      <c r="S103" s="304"/>
      <c r="T103" s="304"/>
      <c r="U103" s="304"/>
      <c r="V103" s="304"/>
      <c r="W103" s="304"/>
      <c r="X103" s="304"/>
      <c r="Y103" s="304"/>
      <c r="Z103" s="304"/>
      <c r="AA103" s="304"/>
      <c r="AB103" s="304"/>
      <c r="AC103" s="304"/>
      <c r="AD103" s="304"/>
      <c r="AE103" s="304"/>
      <c r="AF103" s="304"/>
      <c r="AG103" s="304"/>
      <c r="AH103" s="304"/>
      <c r="AI103" s="304"/>
      <c r="AJ103" s="304"/>
      <c r="AK103" s="304"/>
      <c r="AL103" s="304"/>
      <c r="AM103" s="2175"/>
      <c r="AN103" s="2175"/>
      <c r="AO103" s="2175"/>
      <c r="AP103" s="2175"/>
      <c r="AQ103" s="2175"/>
      <c r="AR103" s="2175"/>
      <c r="AS103" s="2175"/>
      <c r="AT103" s="2175"/>
      <c r="AU103" s="2351"/>
      <c r="AV103" s="2175"/>
      <c r="AW103" s="2348"/>
      <c r="AX103" s="2533"/>
    </row>
    <row r="104" spans="1:50" ht="15.75">
      <c r="A104" s="304"/>
      <c r="B104" s="2536"/>
      <c r="C104" s="519" t="s">
        <v>684</v>
      </c>
      <c r="D104" s="519"/>
      <c r="E104" s="519"/>
      <c r="F104" s="521"/>
      <c r="G104" s="522"/>
      <c r="H104" s="516"/>
      <c r="I104" s="304"/>
      <c r="J104" s="1546"/>
      <c r="K104" s="304"/>
      <c r="L104" s="1613">
        <v>1</v>
      </c>
      <c r="M104" s="3706" t="s">
        <v>605</v>
      </c>
      <c r="N104" s="3706"/>
      <c r="O104" s="3706"/>
      <c r="P104" s="1613">
        <v>1</v>
      </c>
      <c r="Q104" s="3706" t="s">
        <v>1538</v>
      </c>
      <c r="R104" s="3706"/>
      <c r="S104" s="1613">
        <v>69</v>
      </c>
      <c r="T104" s="1218" t="s">
        <v>216</v>
      </c>
      <c r="U104" s="1539"/>
      <c r="V104" s="304"/>
      <c r="W104" s="304"/>
      <c r="X104" s="304"/>
      <c r="Y104" s="304"/>
      <c r="Z104" s="304"/>
      <c r="AA104" s="304"/>
      <c r="AB104" s="304"/>
      <c r="AC104" s="304"/>
      <c r="AD104" s="304"/>
      <c r="AE104" s="304"/>
      <c r="AF104" s="304"/>
      <c r="AG104" s="304"/>
      <c r="AH104" s="304"/>
      <c r="AI104" s="304"/>
      <c r="AJ104" s="304"/>
      <c r="AK104" s="304"/>
      <c r="AL104" s="304"/>
      <c r="AM104" s="2175"/>
      <c r="AN104" s="2175"/>
      <c r="AO104" s="2175"/>
      <c r="AP104" s="2175"/>
      <c r="AQ104" s="2175"/>
      <c r="AR104" s="2175"/>
      <c r="AS104" s="2175"/>
      <c r="AT104" s="2175"/>
      <c r="AU104" s="2351"/>
      <c r="AV104" s="2175"/>
      <c r="AW104" s="2348"/>
      <c r="AX104" s="2533"/>
    </row>
    <row r="105" spans="1:50" ht="15" customHeight="1">
      <c r="A105" s="304"/>
      <c r="B105" s="2536"/>
      <c r="C105" s="519" t="s">
        <v>684</v>
      </c>
      <c r="D105" s="519"/>
      <c r="E105" s="519"/>
      <c r="F105" s="521"/>
      <c r="G105" s="522"/>
      <c r="H105" s="516"/>
      <c r="I105" s="304"/>
      <c r="J105" s="1546"/>
      <c r="K105" s="304"/>
      <c r="L105" s="3707" t="s">
        <v>1123</v>
      </c>
      <c r="M105" s="3707"/>
      <c r="N105" s="3707"/>
      <c r="O105" s="3707"/>
      <c r="P105" s="3707"/>
      <c r="Q105" s="3707"/>
      <c r="R105" s="3707"/>
      <c r="S105" s="3707"/>
      <c r="T105" s="3707"/>
      <c r="U105" s="2535"/>
      <c r="V105" s="304"/>
      <c r="W105" s="304"/>
      <c r="X105" s="1704"/>
      <c r="Y105" s="1704"/>
      <c r="Z105" s="1704"/>
      <c r="AA105" s="1704"/>
      <c r="AB105" s="1704"/>
      <c r="AC105" s="376"/>
      <c r="AD105" s="523"/>
      <c r="AE105" s="523"/>
      <c r="AF105" s="523"/>
      <c r="AG105" s="523"/>
      <c r="AH105" s="523"/>
      <c r="AI105" s="523"/>
      <c r="AJ105" s="523"/>
      <c r="AK105" s="376"/>
      <c r="AL105" s="376"/>
      <c r="AM105" s="2175"/>
      <c r="AN105" s="2175"/>
      <c r="AO105" s="2175"/>
      <c r="AP105" s="2175"/>
      <c r="AQ105" s="2175"/>
      <c r="AR105" s="2175"/>
      <c r="AS105" s="2175"/>
      <c r="AT105" s="2175"/>
      <c r="AU105" s="2351"/>
      <c r="AV105" s="2175"/>
      <c r="AW105" s="2348"/>
      <c r="AX105" s="2533"/>
    </row>
    <row r="106" spans="1:50" ht="15.75">
      <c r="A106" s="304"/>
      <c r="B106" s="2536"/>
      <c r="C106" s="519" t="s">
        <v>684</v>
      </c>
      <c r="D106" s="519"/>
      <c r="E106" s="519"/>
      <c r="F106" s="516"/>
      <c r="G106" s="516"/>
      <c r="H106" s="516"/>
      <c r="I106" s="304"/>
      <c r="J106" s="1546"/>
      <c r="K106" s="304"/>
      <c r="L106" s="304"/>
      <c r="M106" s="304"/>
      <c r="N106" s="304"/>
      <c r="O106" s="304"/>
      <c r="P106" s="304"/>
      <c r="Q106" s="304"/>
      <c r="R106" s="304"/>
      <c r="S106" s="304"/>
      <c r="T106" s="304"/>
      <c r="U106" s="304"/>
      <c r="V106" s="304"/>
      <c r="W106" s="304"/>
      <c r="X106" s="1704"/>
      <c r="Y106" s="1704"/>
      <c r="Z106" s="1704"/>
      <c r="AA106" s="1704"/>
      <c r="AB106" s="1704"/>
      <c r="AC106" s="376"/>
      <c r="AD106" s="523"/>
      <c r="AE106" s="523"/>
      <c r="AF106" s="523"/>
      <c r="AG106" s="523"/>
      <c r="AH106" s="523"/>
      <c r="AI106" s="523"/>
      <c r="AJ106" s="523"/>
      <c r="AK106" s="376"/>
      <c r="AL106" s="376"/>
      <c r="AM106" s="2175"/>
      <c r="AN106" s="2175"/>
      <c r="AO106" s="2175"/>
      <c r="AP106" s="2175"/>
      <c r="AQ106" s="2175"/>
      <c r="AR106" s="2175"/>
      <c r="AS106" s="2175"/>
      <c r="AT106" s="2175"/>
      <c r="AU106" s="2351"/>
      <c r="AV106" s="2175"/>
      <c r="AW106" s="2348"/>
      <c r="AX106" s="2533"/>
    </row>
    <row r="107" spans="1:50" ht="15.75">
      <c r="A107" s="304"/>
      <c r="B107" s="2536"/>
      <c r="C107" s="519" t="s">
        <v>684</v>
      </c>
      <c r="D107" s="519"/>
      <c r="E107" s="519"/>
      <c r="F107" s="516"/>
      <c r="G107" s="516"/>
      <c r="H107" s="516"/>
      <c r="I107" s="1704"/>
      <c r="J107" s="1705"/>
      <c r="K107" s="413"/>
      <c r="L107" s="413"/>
      <c r="M107" s="413"/>
      <c r="N107" s="413"/>
      <c r="O107" s="304"/>
      <c r="P107" s="304"/>
      <c r="Q107" s="304"/>
      <c r="R107" s="304"/>
      <c r="S107" s="304"/>
      <c r="T107" s="304"/>
      <c r="U107" s="304"/>
      <c r="V107" s="304"/>
      <c r="W107" s="304"/>
      <c r="X107" s="1704"/>
      <c r="Y107" s="1704"/>
      <c r="Z107" s="1704"/>
      <c r="AA107" s="1704"/>
      <c r="AB107" s="1704"/>
      <c r="AC107" s="376"/>
      <c r="AD107" s="523"/>
      <c r="AE107" s="523"/>
      <c r="AF107" s="523"/>
      <c r="AG107" s="523"/>
      <c r="AH107" s="523"/>
      <c r="AI107" s="523"/>
      <c r="AJ107" s="523"/>
      <c r="AK107" s="376"/>
      <c r="AL107" s="376"/>
      <c r="AM107" s="2175"/>
      <c r="AN107" s="2175"/>
      <c r="AO107" s="2175"/>
      <c r="AP107" s="2175"/>
      <c r="AQ107" s="2175"/>
      <c r="AR107" s="2175"/>
      <c r="AS107" s="2175"/>
      <c r="AT107" s="2175"/>
      <c r="AU107" s="2351"/>
      <c r="AV107" s="2175"/>
      <c r="AW107" s="2348"/>
      <c r="AX107" s="2533"/>
    </row>
    <row r="108" spans="1:50" ht="15" customHeight="1">
      <c r="A108" s="304"/>
      <c r="B108" s="2415"/>
      <c r="C108" s="519" t="s">
        <v>684</v>
      </c>
      <c r="D108" s="519"/>
      <c r="E108" s="519"/>
      <c r="F108" s="516"/>
      <c r="G108" s="516"/>
      <c r="H108" s="516"/>
      <c r="I108" s="304"/>
      <c r="J108" s="1546"/>
      <c r="K108" s="304"/>
      <c r="L108" s="413"/>
      <c r="M108" s="413"/>
      <c r="N108" s="413"/>
      <c r="O108" s="304"/>
      <c r="P108" s="304"/>
      <c r="Q108" s="304"/>
      <c r="R108" s="304"/>
      <c r="S108" s="304"/>
      <c r="T108" s="304"/>
      <c r="U108" s="304"/>
      <c r="V108" s="524"/>
      <c r="W108" s="1704"/>
      <c r="X108" s="1704"/>
      <c r="Y108" s="1704"/>
      <c r="Z108" s="1704"/>
      <c r="AA108" s="1704"/>
      <c r="AB108" s="1704"/>
      <c r="AC108" s="376"/>
      <c r="AD108" s="523"/>
      <c r="AE108" s="523"/>
      <c r="AF108" s="523"/>
      <c r="AG108" s="523"/>
      <c r="AH108" s="523"/>
      <c r="AI108" s="523"/>
      <c r="AJ108" s="523"/>
      <c r="AK108" s="376"/>
      <c r="AL108" s="376"/>
      <c r="AM108" s="2175"/>
      <c r="AN108" s="2175"/>
      <c r="AO108" s="2175"/>
      <c r="AP108" s="2175"/>
      <c r="AQ108" s="2175"/>
      <c r="AR108" s="2175"/>
      <c r="AS108" s="2175"/>
      <c r="AT108" s="2175"/>
      <c r="AU108" s="2351"/>
      <c r="AV108" s="2175"/>
      <c r="AW108" s="2348"/>
      <c r="AX108" s="2533"/>
    </row>
    <row r="109" spans="1:50" ht="15.75">
      <c r="A109" s="304"/>
      <c r="B109" s="2536"/>
      <c r="C109" s="2790"/>
      <c r="D109" s="2790"/>
      <c r="E109" s="2790"/>
      <c r="F109" s="2791" t="s">
        <v>203</v>
      </c>
      <c r="G109" s="2792" t="s">
        <v>204</v>
      </c>
      <c r="H109" s="2791" t="s">
        <v>205</v>
      </c>
      <c r="I109" s="2416"/>
      <c r="J109" s="1548"/>
      <c r="K109" s="304"/>
      <c r="L109" s="2175"/>
      <c r="M109" s="2175"/>
      <c r="N109" s="2175"/>
      <c r="O109" s="304"/>
      <c r="P109" s="304"/>
      <c r="Q109" s="304"/>
      <c r="R109" s="304"/>
      <c r="S109" s="304"/>
      <c r="T109" s="304"/>
      <c r="U109" s="2344"/>
      <c r="V109" s="2345"/>
      <c r="W109" s="2177"/>
      <c r="X109" s="2177"/>
      <c r="Y109" s="2177"/>
      <c r="Z109" s="2177"/>
      <c r="AA109" s="2177"/>
      <c r="AB109" s="2177"/>
      <c r="AC109" s="2346"/>
      <c r="AD109" s="2347"/>
      <c r="AE109" s="2347"/>
      <c r="AF109" s="2347"/>
      <c r="AG109" s="2347"/>
      <c r="AH109" s="2347"/>
      <c r="AI109" s="2347"/>
      <c r="AJ109" s="2347"/>
      <c r="AK109" s="2346"/>
      <c r="AL109" s="2346"/>
      <c r="AM109" s="2175"/>
      <c r="AN109" s="2175"/>
      <c r="AO109" s="2175"/>
      <c r="AP109" s="2175"/>
      <c r="AQ109" s="2175"/>
      <c r="AR109" s="2175"/>
      <c r="AS109" s="2175"/>
      <c r="AT109" s="2175"/>
      <c r="AU109" s="2351"/>
      <c r="AV109" s="2175"/>
      <c r="AW109" s="2348"/>
      <c r="AX109" s="2533"/>
    </row>
    <row r="110" spans="1:50" ht="15.75">
      <c r="A110" s="304"/>
      <c r="B110" s="3708" t="s">
        <v>210</v>
      </c>
      <c r="C110" s="3708"/>
      <c r="D110" s="1707"/>
      <c r="E110" s="1707"/>
      <c r="F110" s="513" t="s">
        <v>213</v>
      </c>
      <c r="G110" s="514" t="s">
        <v>214</v>
      </c>
      <c r="H110" s="513" t="s">
        <v>270</v>
      </c>
      <c r="I110" s="2416"/>
      <c r="J110" s="1549"/>
      <c r="K110" s="304"/>
      <c r="L110" s="537"/>
      <c r="M110" s="2175"/>
      <c r="N110" s="2175"/>
      <c r="O110" s="304"/>
      <c r="P110" s="304"/>
      <c r="Q110" s="304"/>
      <c r="R110" s="304"/>
      <c r="S110" s="304"/>
      <c r="T110" s="304"/>
      <c r="U110" s="2344"/>
      <c r="V110" s="2345"/>
      <c r="W110" s="2177"/>
      <c r="X110" s="2177"/>
      <c r="Y110" s="2177"/>
      <c r="Z110" s="2177"/>
      <c r="AA110" s="2177"/>
      <c r="AB110" s="2177"/>
      <c r="AC110" s="2346"/>
      <c r="AD110" s="2347"/>
      <c r="AE110" s="2347"/>
      <c r="AF110" s="2347"/>
      <c r="AG110" s="2347"/>
      <c r="AH110" s="2347"/>
      <c r="AI110" s="2347"/>
      <c r="AJ110" s="2347"/>
      <c r="AK110" s="2346"/>
      <c r="AL110" s="2346"/>
      <c r="AM110" s="2175"/>
      <c r="AN110" s="2175"/>
      <c r="AO110" s="2175"/>
      <c r="AP110" s="2175"/>
      <c r="AQ110" s="2175"/>
      <c r="AR110" s="2175"/>
      <c r="AS110" s="2175"/>
      <c r="AT110" s="2175"/>
      <c r="AU110" s="2351"/>
      <c r="AV110" s="2175"/>
      <c r="AW110" s="2348"/>
      <c r="AX110" s="2378"/>
    </row>
    <row r="111" spans="1:50" ht="15.75">
      <c r="A111" s="304"/>
      <c r="B111" s="2417"/>
      <c r="C111" s="471" t="s">
        <v>1124</v>
      </c>
      <c r="D111" s="471"/>
      <c r="E111" s="471"/>
      <c r="F111" s="521">
        <v>375</v>
      </c>
      <c r="G111" s="516">
        <v>1</v>
      </c>
      <c r="H111" s="516"/>
      <c r="I111" s="2418"/>
      <c r="J111" s="1549"/>
      <c r="K111" s="413"/>
      <c r="L111" s="537"/>
      <c r="M111" s="2175"/>
      <c r="N111" s="2175"/>
      <c r="O111" s="304"/>
      <c r="P111" s="304"/>
      <c r="Q111" s="304"/>
      <c r="R111" s="304"/>
      <c r="S111" s="304"/>
      <c r="T111" s="304"/>
      <c r="U111" s="2344"/>
      <c r="V111" s="2345"/>
      <c r="W111" s="2177"/>
      <c r="X111" s="2177"/>
      <c r="Y111" s="2177"/>
      <c r="Z111" s="2177"/>
      <c r="AA111" s="2177"/>
      <c r="AB111" s="2177"/>
      <c r="AC111" s="2346"/>
      <c r="AD111" s="2347"/>
      <c r="AE111" s="2347"/>
      <c r="AF111" s="2347"/>
      <c r="AG111" s="2347"/>
      <c r="AH111" s="2347"/>
      <c r="AI111" s="2347"/>
      <c r="AJ111" s="2347"/>
      <c r="AK111" s="2346"/>
      <c r="AL111" s="2346"/>
      <c r="AM111" s="2175"/>
      <c r="AN111" s="2175"/>
      <c r="AO111" s="2175"/>
      <c r="AP111" s="2175"/>
      <c r="AQ111" s="2175"/>
      <c r="AR111" s="2175"/>
      <c r="AS111" s="2175"/>
      <c r="AT111" s="2175"/>
      <c r="AU111" s="2351"/>
      <c r="AV111" s="2175"/>
      <c r="AW111" s="2348"/>
      <c r="AX111" s="2378"/>
    </row>
    <row r="112" spans="1:50" ht="15.75">
      <c r="A112" s="304"/>
      <c r="B112" s="2417"/>
      <c r="C112" s="471" t="s">
        <v>281</v>
      </c>
      <c r="D112" s="471"/>
      <c r="E112" s="471"/>
      <c r="F112" s="521">
        <v>370</v>
      </c>
      <c r="G112" s="516">
        <v>1</v>
      </c>
      <c r="H112" s="516">
        <v>16</v>
      </c>
      <c r="I112" s="2414"/>
      <c r="J112" s="1550"/>
      <c r="K112" s="413"/>
      <c r="L112" s="537"/>
      <c r="M112" s="401"/>
      <c r="N112" s="2175"/>
      <c r="O112" s="304"/>
      <c r="P112" s="304"/>
      <c r="Q112" s="304"/>
      <c r="R112" s="304"/>
      <c r="S112" s="304"/>
      <c r="T112" s="304"/>
      <c r="U112" s="2344"/>
      <c r="V112" s="2345"/>
      <c r="W112" s="2177"/>
      <c r="X112" s="2177"/>
      <c r="Y112" s="2177"/>
      <c r="Z112" s="2177"/>
      <c r="AA112" s="2177"/>
      <c r="AB112" s="2177"/>
      <c r="AC112" s="2346"/>
      <c r="AD112" s="2347"/>
      <c r="AE112" s="2347"/>
      <c r="AF112" s="2347"/>
      <c r="AG112" s="2347"/>
      <c r="AH112" s="2347"/>
      <c r="AI112" s="2347"/>
      <c r="AJ112" s="2347"/>
      <c r="AK112" s="2346"/>
      <c r="AL112" s="2346"/>
      <c r="AM112" s="2175"/>
      <c r="AN112" s="2175"/>
      <c r="AO112" s="2175"/>
      <c r="AP112" s="2175"/>
      <c r="AQ112" s="2175"/>
      <c r="AR112" s="2175"/>
      <c r="AS112" s="2175"/>
      <c r="AT112" s="2175"/>
      <c r="AU112" s="2351"/>
      <c r="AV112" s="2175"/>
      <c r="AW112" s="2348"/>
      <c r="AX112" s="2378"/>
    </row>
    <row r="113" spans="1:50" ht="15.75">
      <c r="A113" s="304"/>
      <c r="B113" s="2417"/>
      <c r="C113" s="520" t="s">
        <v>90</v>
      </c>
      <c r="D113" s="520"/>
      <c r="E113" s="520"/>
      <c r="F113" s="526">
        <v>370</v>
      </c>
      <c r="G113" s="310">
        <v>1</v>
      </c>
      <c r="H113" s="526">
        <v>45</v>
      </c>
      <c r="I113" s="2414"/>
      <c r="J113" s="1550"/>
      <c r="K113" s="413"/>
      <c r="L113" s="401"/>
      <c r="M113" s="2175"/>
      <c r="N113" s="2175"/>
      <c r="O113" s="304"/>
      <c r="P113" s="304"/>
      <c r="Q113" s="304"/>
      <c r="R113" s="304"/>
      <c r="S113" s="304"/>
      <c r="T113" s="304"/>
      <c r="U113" s="2344"/>
      <c r="V113" s="2345"/>
      <c r="W113" s="2177"/>
      <c r="X113" s="2177"/>
      <c r="Y113" s="2177"/>
      <c r="Z113" s="2177"/>
      <c r="AA113" s="2177"/>
      <c r="AB113" s="2177"/>
      <c r="AC113" s="2346"/>
      <c r="AD113" s="2347"/>
      <c r="AE113" s="2347"/>
      <c r="AF113" s="2347"/>
      <c r="AG113" s="2347"/>
      <c r="AH113" s="2347"/>
      <c r="AI113" s="2347"/>
      <c r="AJ113" s="2347"/>
      <c r="AK113" s="2346"/>
      <c r="AL113" s="2346"/>
      <c r="AM113" s="2175"/>
      <c r="AN113" s="2175"/>
      <c r="AO113" s="2175"/>
      <c r="AP113" s="2175"/>
      <c r="AQ113" s="2175"/>
      <c r="AR113" s="2175"/>
      <c r="AS113" s="2175"/>
      <c r="AT113" s="2175"/>
      <c r="AU113" s="2351"/>
      <c r="AV113" s="2175"/>
      <c r="AW113" s="2348"/>
      <c r="AX113" s="2378"/>
    </row>
    <row r="114" spans="1:50" ht="15.75">
      <c r="A114" s="304"/>
      <c r="B114" s="2417"/>
      <c r="C114" s="520" t="s">
        <v>91</v>
      </c>
      <c r="D114" s="520"/>
      <c r="E114" s="520"/>
      <c r="F114" s="526">
        <v>370</v>
      </c>
      <c r="G114" s="310">
        <v>1</v>
      </c>
      <c r="H114" s="526">
        <v>90</v>
      </c>
      <c r="I114" s="2414"/>
      <c r="J114" s="1550"/>
      <c r="K114" s="413"/>
      <c r="L114" s="401"/>
      <c r="M114" s="401"/>
      <c r="N114" s="401"/>
      <c r="O114" s="304"/>
      <c r="P114" s="304"/>
      <c r="Q114" s="304"/>
      <c r="R114" s="304"/>
      <c r="S114" s="304"/>
      <c r="T114" s="304"/>
      <c r="U114" s="2344"/>
      <c r="V114" s="2345"/>
      <c r="W114" s="2177"/>
      <c r="X114" s="2177"/>
      <c r="Y114" s="2177"/>
      <c r="Z114" s="2177"/>
      <c r="AA114" s="2177"/>
      <c r="AB114" s="2177"/>
      <c r="AC114" s="2346"/>
      <c r="AD114" s="2347"/>
      <c r="AE114" s="2347"/>
      <c r="AF114" s="2347"/>
      <c r="AG114" s="2347"/>
      <c r="AH114" s="2347"/>
      <c r="AI114" s="2347"/>
      <c r="AJ114" s="2347"/>
      <c r="AK114" s="2346"/>
      <c r="AL114" s="2346"/>
      <c r="AM114" s="2175"/>
      <c r="AN114" s="2175"/>
      <c r="AO114" s="2175"/>
      <c r="AP114" s="2175"/>
      <c r="AQ114" s="2175"/>
      <c r="AR114" s="2175"/>
      <c r="AS114" s="2175"/>
      <c r="AT114" s="2175"/>
      <c r="AU114" s="2351"/>
      <c r="AV114" s="2175"/>
      <c r="AW114" s="2348"/>
      <c r="AX114" s="2378"/>
    </row>
    <row r="115" spans="1:50" ht="15.75">
      <c r="A115" s="304"/>
      <c r="B115" s="2417"/>
      <c r="C115" s="519" t="s">
        <v>377</v>
      </c>
      <c r="D115" s="519"/>
      <c r="E115" s="519"/>
      <c r="F115" s="521">
        <f>0.8*375</f>
        <v>300</v>
      </c>
      <c r="G115" s="516">
        <v>0.95</v>
      </c>
      <c r="H115" s="521">
        <v>10</v>
      </c>
      <c r="I115" s="2414"/>
      <c r="J115" s="1550"/>
      <c r="K115" s="413"/>
      <c r="L115" s="401"/>
      <c r="M115" s="401"/>
      <c r="N115" s="401"/>
      <c r="O115" s="304"/>
      <c r="P115" s="304"/>
      <c r="Q115" s="304"/>
      <c r="R115" s="304"/>
      <c r="S115" s="304"/>
      <c r="T115" s="304"/>
      <c r="U115" s="2344"/>
      <c r="V115" s="2345"/>
      <c r="W115" s="2177"/>
      <c r="X115" s="2177"/>
      <c r="Y115" s="2177"/>
      <c r="Z115" s="2177"/>
      <c r="AA115" s="2177"/>
      <c r="AB115" s="2177"/>
      <c r="AC115" s="2346"/>
      <c r="AD115" s="2347"/>
      <c r="AE115" s="2347"/>
      <c r="AF115" s="2347"/>
      <c r="AG115" s="2347"/>
      <c r="AH115" s="2347"/>
      <c r="AI115" s="2347"/>
      <c r="AJ115" s="2347"/>
      <c r="AK115" s="2346"/>
      <c r="AL115" s="2346"/>
      <c r="AM115" s="2175"/>
      <c r="AN115" s="2175"/>
      <c r="AO115" s="2175"/>
      <c r="AP115" s="2175"/>
      <c r="AQ115" s="2175"/>
      <c r="AR115" s="2175"/>
      <c r="AS115" s="2175"/>
      <c r="AT115" s="2175"/>
      <c r="AU115" s="2351"/>
      <c r="AV115" s="2175"/>
      <c r="AW115" s="2348"/>
      <c r="AX115" s="2378"/>
    </row>
    <row r="116" spans="1:50" ht="15.75">
      <c r="A116" s="304"/>
      <c r="B116" s="2417"/>
      <c r="C116" s="527" t="s">
        <v>1125</v>
      </c>
      <c r="D116" s="527"/>
      <c r="E116" s="527"/>
      <c r="F116" s="521">
        <v>380</v>
      </c>
      <c r="G116" s="516">
        <v>0</v>
      </c>
      <c r="H116" s="516">
        <v>30</v>
      </c>
      <c r="I116" s="2419" t="s">
        <v>1126</v>
      </c>
      <c r="J116" s="1551"/>
      <c r="K116" s="413"/>
      <c r="L116" s="401"/>
      <c r="M116" s="401"/>
      <c r="N116" s="401"/>
      <c r="O116" s="304"/>
      <c r="P116" s="304"/>
      <c r="Q116" s="304"/>
      <c r="R116" s="304"/>
      <c r="S116" s="304"/>
      <c r="T116" s="304"/>
      <c r="U116" s="2344"/>
      <c r="V116" s="2345"/>
      <c r="W116" s="2177"/>
      <c r="X116" s="2177"/>
      <c r="Y116" s="2177"/>
      <c r="Z116" s="2177"/>
      <c r="AA116" s="2177"/>
      <c r="AB116" s="2177"/>
      <c r="AC116" s="2346"/>
      <c r="AD116" s="2347"/>
      <c r="AE116" s="2347"/>
      <c r="AF116" s="2347"/>
      <c r="AG116" s="2347"/>
      <c r="AH116" s="2347"/>
      <c r="AI116" s="2347"/>
      <c r="AJ116" s="2347"/>
      <c r="AK116" s="2346"/>
      <c r="AL116" s="2346"/>
      <c r="AM116" s="2175"/>
      <c r="AN116" s="2175"/>
      <c r="AO116" s="2175"/>
      <c r="AP116" s="2175"/>
      <c r="AQ116" s="2175"/>
      <c r="AR116" s="2175"/>
      <c r="AS116" s="2175"/>
      <c r="AT116" s="2175"/>
      <c r="AU116" s="2351"/>
      <c r="AV116" s="2175"/>
      <c r="AW116" s="2348"/>
      <c r="AX116" s="2378"/>
    </row>
    <row r="117" spans="1:50" ht="15.75">
      <c r="A117" s="304"/>
      <c r="B117" s="2420"/>
      <c r="C117" s="2421"/>
      <c r="D117" s="2422"/>
      <c r="E117" s="2422"/>
      <c r="F117" s="2423"/>
      <c r="G117" s="2423"/>
      <c r="H117" s="2424"/>
      <c r="I117" s="2424"/>
      <c r="J117" s="1552"/>
      <c r="K117" s="304"/>
      <c r="L117" s="401"/>
      <c r="M117" s="401"/>
      <c r="N117" s="401"/>
      <c r="O117" s="304"/>
      <c r="P117" s="304"/>
      <c r="Q117" s="304"/>
      <c r="R117" s="304"/>
      <c r="S117" s="304"/>
      <c r="T117" s="304"/>
      <c r="U117" s="2344"/>
      <c r="V117" s="2345"/>
      <c r="W117" s="2177"/>
      <c r="X117" s="2177"/>
      <c r="Y117" s="2177"/>
      <c r="Z117" s="2177"/>
      <c r="AA117" s="2177"/>
      <c r="AB117" s="2177"/>
      <c r="AC117" s="2346"/>
      <c r="AD117" s="2347"/>
      <c r="AE117" s="2347"/>
      <c r="AF117" s="2347"/>
      <c r="AG117" s="2347"/>
      <c r="AH117" s="2347"/>
      <c r="AI117" s="2347"/>
      <c r="AJ117" s="2347"/>
      <c r="AK117" s="2346"/>
      <c r="AL117" s="2346"/>
      <c r="AM117" s="2175"/>
      <c r="AN117" s="2175"/>
      <c r="AO117" s="2175"/>
      <c r="AP117" s="2175"/>
      <c r="AQ117" s="2175"/>
      <c r="AR117" s="2175"/>
      <c r="AS117" s="2175"/>
      <c r="AT117" s="2175"/>
      <c r="AU117" s="2351"/>
      <c r="AV117" s="2175"/>
      <c r="AW117" s="2348"/>
      <c r="AX117" s="2378"/>
    </row>
    <row r="118" spans="1:50" ht="15.75">
      <c r="A118" s="304"/>
      <c r="B118" s="304"/>
      <c r="C118" s="304"/>
      <c r="D118" s="304"/>
      <c r="E118" s="304"/>
      <c r="F118" s="304"/>
      <c r="G118" s="304"/>
      <c r="H118" s="304"/>
      <c r="I118" s="304"/>
      <c r="J118" s="304"/>
      <c r="K118" s="304"/>
      <c r="L118" s="401"/>
      <c r="M118" s="401"/>
      <c r="N118" s="401"/>
      <c r="O118" s="304"/>
      <c r="P118" s="304"/>
      <c r="Q118" s="304"/>
      <c r="R118" s="304"/>
      <c r="S118" s="304"/>
      <c r="T118" s="304"/>
      <c r="U118" s="2349"/>
      <c r="V118" s="2345"/>
      <c r="W118" s="2177"/>
      <c r="X118" s="2177"/>
      <c r="Y118" s="2177"/>
      <c r="Z118" s="2177"/>
      <c r="AA118" s="2177"/>
      <c r="AB118" s="2177"/>
      <c r="AC118" s="2346"/>
      <c r="AD118" s="2347"/>
      <c r="AE118" s="2347"/>
      <c r="AF118" s="2347"/>
      <c r="AG118" s="2347"/>
      <c r="AH118" s="2347"/>
      <c r="AI118" s="2347"/>
      <c r="AJ118" s="2347"/>
      <c r="AK118" s="2346"/>
      <c r="AL118" s="2346"/>
      <c r="AM118" s="2175"/>
      <c r="AN118" s="2175"/>
      <c r="AO118" s="2175"/>
      <c r="AP118" s="2175"/>
      <c r="AQ118" s="2175"/>
      <c r="AR118" s="2175"/>
      <c r="AS118" s="2175"/>
      <c r="AT118" s="2175"/>
      <c r="AU118" s="2351"/>
      <c r="AV118" s="2175"/>
      <c r="AW118" s="2348"/>
      <c r="AX118" s="2378"/>
    </row>
    <row r="119" spans="1:50" ht="15.75">
      <c r="A119" s="413"/>
      <c r="B119" s="2377"/>
      <c r="C119" s="2425" t="s">
        <v>1127</v>
      </c>
      <c r="D119" s="2426"/>
      <c r="E119" s="2426"/>
      <c r="F119" s="2427"/>
      <c r="G119" s="2427"/>
      <c r="H119" s="2427"/>
      <c r="I119" s="2427"/>
      <c r="J119" s="2428"/>
      <c r="K119" s="413"/>
      <c r="L119" s="2175"/>
      <c r="M119" s="2175"/>
      <c r="N119" s="2175"/>
      <c r="O119" s="304"/>
      <c r="P119" s="304"/>
      <c r="Q119" s="304"/>
      <c r="R119" s="304"/>
      <c r="S119" s="304"/>
      <c r="T119" s="304"/>
      <c r="U119" s="401"/>
      <c r="V119" s="2175"/>
      <c r="W119" s="2175"/>
      <c r="X119" s="2175"/>
      <c r="Y119" s="2175"/>
      <c r="Z119" s="2175"/>
      <c r="AA119" s="2175"/>
      <c r="AB119" s="2175"/>
      <c r="AC119" s="2175"/>
      <c r="AD119" s="2175"/>
      <c r="AE119" s="2175"/>
      <c r="AF119" s="2175"/>
      <c r="AG119" s="2175"/>
      <c r="AH119" s="2175"/>
      <c r="AI119" s="2175"/>
      <c r="AJ119" s="2175"/>
      <c r="AK119" s="2175"/>
      <c r="AL119" s="2175"/>
      <c r="AM119" s="2175"/>
      <c r="AN119" s="2175"/>
      <c r="AO119" s="2175"/>
      <c r="AP119" s="2175"/>
      <c r="AQ119" s="2175"/>
      <c r="AR119" s="2175"/>
      <c r="AS119" s="2175"/>
      <c r="AT119" s="2175"/>
      <c r="AU119" s="2351"/>
      <c r="AV119" s="2175"/>
      <c r="AW119" s="2348"/>
      <c r="AX119" s="2378"/>
    </row>
    <row r="120" spans="1:50" ht="15.75">
      <c r="A120" s="413"/>
      <c r="B120" s="3708" t="s">
        <v>210</v>
      </c>
      <c r="C120" s="3708"/>
      <c r="D120" s="1707"/>
      <c r="E120" s="1707"/>
      <c r="F120" s="2429"/>
      <c r="G120" s="2429"/>
      <c r="H120" s="2429"/>
      <c r="I120" s="2414"/>
      <c r="J120" s="1550"/>
      <c r="K120" s="413"/>
      <c r="L120" s="2175"/>
      <c r="M120" s="2175"/>
      <c r="N120" s="2175"/>
      <c r="O120" s="304"/>
      <c r="P120" s="304"/>
      <c r="Q120" s="304"/>
      <c r="R120" s="304"/>
      <c r="S120" s="304"/>
      <c r="T120" s="304"/>
      <c r="U120" s="2175"/>
      <c r="V120" s="2175"/>
      <c r="W120" s="2175"/>
      <c r="X120" s="2175"/>
      <c r="Y120" s="2175"/>
      <c r="Z120" s="2175"/>
      <c r="AA120" s="2175"/>
      <c r="AB120" s="401"/>
      <c r="AC120" s="2175"/>
      <c r="AD120" s="2175"/>
      <c r="AE120" s="2175"/>
      <c r="AF120" s="2175"/>
      <c r="AG120" s="2175"/>
      <c r="AH120" s="2175"/>
      <c r="AI120" s="2175"/>
      <c r="AJ120" s="2175"/>
      <c r="AK120" s="2175"/>
      <c r="AL120" s="2175"/>
      <c r="AM120" s="2175"/>
      <c r="AN120" s="2175"/>
      <c r="AO120" s="2175"/>
      <c r="AP120" s="2175"/>
      <c r="AQ120" s="2175"/>
      <c r="AR120" s="2175"/>
      <c r="AS120" s="2175"/>
      <c r="AT120" s="2175"/>
      <c r="AU120" s="2351"/>
      <c r="AV120" s="2175"/>
      <c r="AW120" s="2348"/>
      <c r="AX120" s="2378"/>
    </row>
    <row r="121" spans="1:50" ht="15.75">
      <c r="A121" s="413"/>
      <c r="B121" s="2417"/>
      <c r="C121" s="471" t="s">
        <v>1124</v>
      </c>
      <c r="D121" s="471"/>
      <c r="E121" s="471"/>
      <c r="F121" s="521">
        <v>375</v>
      </c>
      <c r="G121" s="516">
        <v>1</v>
      </c>
      <c r="H121" s="516"/>
      <c r="I121" s="455"/>
      <c r="J121" s="1550"/>
      <c r="K121" s="413"/>
      <c r="L121" s="2175"/>
      <c r="M121" s="2175"/>
      <c r="N121" s="2175"/>
      <c r="O121" s="304"/>
      <c r="P121" s="304"/>
      <c r="Q121" s="304"/>
      <c r="R121" s="304"/>
      <c r="S121" s="304"/>
      <c r="T121" s="304"/>
      <c r="U121" s="401"/>
      <c r="V121" s="2175"/>
      <c r="W121" s="2175"/>
      <c r="X121" s="2175"/>
      <c r="Y121" s="2175"/>
      <c r="Z121" s="2175"/>
      <c r="AA121" s="2175"/>
      <c r="AB121" s="2175"/>
      <c r="AC121" s="2175"/>
      <c r="AD121" s="2175"/>
      <c r="AE121" s="2175"/>
      <c r="AF121" s="2175"/>
      <c r="AG121" s="2175"/>
      <c r="AH121" s="2175"/>
      <c r="AI121" s="2175"/>
      <c r="AJ121" s="2175"/>
      <c r="AK121" s="2175"/>
      <c r="AL121" s="2175"/>
      <c r="AM121" s="2175"/>
      <c r="AN121" s="2175"/>
      <c r="AO121" s="2175"/>
      <c r="AP121" s="2175"/>
      <c r="AQ121" s="2175"/>
      <c r="AR121" s="2175"/>
      <c r="AS121" s="2175"/>
      <c r="AT121" s="2175"/>
      <c r="AU121" s="2351"/>
      <c r="AV121" s="2175"/>
      <c r="AW121" s="2348"/>
      <c r="AX121" s="2378"/>
    </row>
    <row r="122" spans="1:50" ht="15.75">
      <c r="A122" s="413"/>
      <c r="B122" s="2417"/>
      <c r="C122" s="520" t="s">
        <v>1128</v>
      </c>
      <c r="D122" s="520"/>
      <c r="E122" s="520"/>
      <c r="F122" s="526">
        <v>319</v>
      </c>
      <c r="G122" s="310">
        <v>1</v>
      </c>
      <c r="H122" s="526"/>
      <c r="I122" s="2414"/>
      <c r="J122" s="1550"/>
      <c r="K122" s="413"/>
      <c r="L122" s="2175"/>
      <c r="M122" s="2175"/>
      <c r="N122" s="2175"/>
      <c r="O122" s="2175"/>
      <c r="P122" s="2175"/>
      <c r="Q122" s="401"/>
      <c r="R122" s="401"/>
      <c r="S122" s="401"/>
      <c r="T122" s="401"/>
      <c r="U122" s="401"/>
      <c r="V122" s="2175"/>
      <c r="W122" s="2175"/>
      <c r="X122" s="2175"/>
      <c r="Y122" s="2175"/>
      <c r="Z122" s="2175"/>
      <c r="AA122" s="2175"/>
      <c r="AB122" s="2175"/>
      <c r="AC122" s="2175"/>
      <c r="AD122" s="2175"/>
      <c r="AE122" s="2175"/>
      <c r="AF122" s="2175"/>
      <c r="AG122" s="2175"/>
      <c r="AH122" s="2175"/>
      <c r="AI122" s="2175"/>
      <c r="AJ122" s="2175"/>
      <c r="AK122" s="2175"/>
      <c r="AL122" s="2175"/>
      <c r="AM122" s="2175"/>
      <c r="AN122" s="2175"/>
      <c r="AO122" s="2175"/>
      <c r="AP122" s="2175"/>
      <c r="AQ122" s="2175"/>
      <c r="AR122" s="2175"/>
      <c r="AS122" s="2175"/>
      <c r="AT122" s="2175"/>
      <c r="AU122" s="2351"/>
      <c r="AV122" s="2175"/>
      <c r="AW122" s="2348"/>
      <c r="AX122" s="2378"/>
    </row>
    <row r="123" spans="1:50" ht="15.75">
      <c r="A123" s="413"/>
      <c r="B123" s="2417"/>
      <c r="C123" s="471" t="s">
        <v>281</v>
      </c>
      <c r="D123" s="471"/>
      <c r="E123" s="471"/>
      <c r="F123" s="521">
        <v>370</v>
      </c>
      <c r="G123" s="516">
        <v>1</v>
      </c>
      <c r="H123" s="516">
        <v>16</v>
      </c>
      <c r="I123" s="2414"/>
      <c r="J123" s="1550"/>
      <c r="K123" s="413"/>
      <c r="L123" s="413"/>
      <c r="M123" s="413"/>
      <c r="N123" s="413"/>
      <c r="O123" s="413"/>
      <c r="P123" s="413"/>
      <c r="Q123" s="304"/>
      <c r="R123" s="304"/>
      <c r="S123" s="304"/>
      <c r="T123" s="304"/>
      <c r="U123" s="304"/>
      <c r="V123" s="413"/>
      <c r="W123" s="413"/>
      <c r="X123" s="413"/>
      <c r="Y123" s="413"/>
      <c r="Z123" s="413"/>
      <c r="AA123" s="413"/>
      <c r="AB123" s="413"/>
      <c r="AC123" s="413"/>
      <c r="AD123" s="413"/>
      <c r="AE123" s="413"/>
      <c r="AF123" s="413"/>
      <c r="AG123" s="413"/>
      <c r="AH123" s="413"/>
      <c r="AI123" s="413"/>
      <c r="AJ123" s="413"/>
      <c r="AK123" s="413"/>
      <c r="AL123" s="413"/>
      <c r="AM123" s="2175"/>
      <c r="AN123" s="2175"/>
      <c r="AO123" s="2175"/>
      <c r="AP123" s="2175"/>
      <c r="AQ123" s="2175"/>
      <c r="AR123" s="2175"/>
      <c r="AS123" s="2175"/>
      <c r="AT123" s="2175"/>
      <c r="AU123" s="2351"/>
      <c r="AV123" s="2175"/>
      <c r="AW123" s="2348"/>
      <c r="AX123" s="2378"/>
    </row>
    <row r="124" spans="1:50" ht="15.75">
      <c r="A124" s="413"/>
      <c r="B124" s="2417"/>
      <c r="C124" s="520" t="s">
        <v>90</v>
      </c>
      <c r="D124" s="520"/>
      <c r="E124" s="520"/>
      <c r="F124" s="526">
        <v>370</v>
      </c>
      <c r="G124" s="310">
        <v>1</v>
      </c>
      <c r="H124" s="526">
        <v>45</v>
      </c>
      <c r="I124" s="2414"/>
      <c r="J124" s="1550"/>
      <c r="K124" s="413"/>
      <c r="L124" s="413"/>
      <c r="M124" s="413"/>
      <c r="N124" s="413"/>
      <c r="O124" s="413"/>
      <c r="P124" s="413"/>
      <c r="Q124" s="304"/>
      <c r="R124" s="304"/>
      <c r="S124" s="304"/>
      <c r="T124" s="304"/>
      <c r="U124" s="304"/>
      <c r="V124" s="413"/>
      <c r="W124" s="413"/>
      <c r="X124" s="413"/>
      <c r="Y124" s="413"/>
      <c r="Z124" s="413"/>
      <c r="AA124" s="413"/>
      <c r="AB124" s="413"/>
      <c r="AC124" s="413"/>
      <c r="AD124" s="413"/>
      <c r="AE124" s="413"/>
      <c r="AF124" s="413"/>
      <c r="AG124" s="413"/>
      <c r="AH124" s="413"/>
      <c r="AI124" s="413"/>
      <c r="AJ124" s="413"/>
      <c r="AK124" s="413"/>
      <c r="AL124" s="413"/>
      <c r="AM124" s="2175"/>
      <c r="AN124" s="2175"/>
      <c r="AO124" s="2175"/>
      <c r="AP124" s="2175"/>
      <c r="AQ124" s="2175"/>
      <c r="AR124" s="2175"/>
      <c r="AS124" s="2175"/>
      <c r="AT124" s="2175"/>
      <c r="AU124" s="2351"/>
      <c r="AV124" s="2175"/>
      <c r="AW124" s="2348"/>
      <c r="AX124" s="2378"/>
    </row>
    <row r="125" spans="1:50" ht="15.75">
      <c r="A125" s="413"/>
      <c r="B125" s="2417"/>
      <c r="C125" s="520" t="s">
        <v>91</v>
      </c>
      <c r="D125" s="520"/>
      <c r="E125" s="520"/>
      <c r="F125" s="526">
        <v>370</v>
      </c>
      <c r="G125" s="310">
        <v>1</v>
      </c>
      <c r="H125" s="526">
        <v>90</v>
      </c>
      <c r="I125" s="2414"/>
      <c r="J125" s="1550"/>
      <c r="K125" s="413"/>
      <c r="L125" s="413"/>
      <c r="M125" s="413"/>
      <c r="N125" s="413"/>
      <c r="O125" s="413"/>
      <c r="P125" s="413"/>
      <c r="Q125" s="304"/>
      <c r="R125" s="304"/>
      <c r="S125" s="304"/>
      <c r="T125" s="304"/>
      <c r="U125" s="304"/>
      <c r="V125" s="413"/>
      <c r="W125" s="413"/>
      <c r="X125" s="413"/>
      <c r="Y125" s="413"/>
      <c r="Z125" s="413"/>
      <c r="AA125" s="413"/>
      <c r="AB125" s="413"/>
      <c r="AC125" s="413"/>
      <c r="AD125" s="413"/>
      <c r="AE125" s="413"/>
      <c r="AF125" s="413"/>
      <c r="AG125" s="413"/>
      <c r="AH125" s="413"/>
      <c r="AI125" s="413"/>
      <c r="AJ125" s="413"/>
      <c r="AK125" s="413"/>
      <c r="AL125" s="413"/>
      <c r="AM125" s="2175"/>
      <c r="AN125" s="2175"/>
      <c r="AO125" s="2175"/>
      <c r="AP125" s="2175"/>
      <c r="AQ125" s="2175"/>
      <c r="AR125" s="2175"/>
      <c r="AS125" s="2175"/>
      <c r="AT125" s="2175"/>
      <c r="AU125" s="2351"/>
      <c r="AV125" s="2175"/>
      <c r="AW125" s="2348"/>
      <c r="AX125" s="2378"/>
    </row>
    <row r="126" spans="1:50" ht="15.75">
      <c r="A126" s="413"/>
      <c r="B126" s="2417"/>
      <c r="C126" s="471" t="s">
        <v>282</v>
      </c>
      <c r="D126" s="471"/>
      <c r="E126" s="471"/>
      <c r="F126" s="521">
        <v>319</v>
      </c>
      <c r="G126" s="516">
        <v>1</v>
      </c>
      <c r="H126" s="516"/>
      <c r="I126" s="2414"/>
      <c r="J126" s="1550"/>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c r="AJ126" s="413"/>
      <c r="AK126" s="413"/>
      <c r="AL126" s="413"/>
      <c r="AM126" s="2175"/>
      <c r="AN126" s="2175"/>
      <c r="AO126" s="2175"/>
      <c r="AP126" s="2175"/>
      <c r="AQ126" s="2175"/>
      <c r="AR126" s="2175"/>
      <c r="AS126" s="2175"/>
      <c r="AT126" s="2175"/>
      <c r="AU126" s="2351"/>
      <c r="AV126" s="2175"/>
      <c r="AW126" s="2348"/>
      <c r="AX126" s="2378"/>
    </row>
    <row r="127" spans="1:50" ht="15.75">
      <c r="A127" s="413"/>
      <c r="B127" s="2417"/>
      <c r="C127" s="519" t="s">
        <v>377</v>
      </c>
      <c r="D127" s="519"/>
      <c r="E127" s="519"/>
      <c r="F127" s="521">
        <f>0.8*375</f>
        <v>300</v>
      </c>
      <c r="G127" s="516">
        <v>0.95</v>
      </c>
      <c r="H127" s="521">
        <v>10</v>
      </c>
      <c r="I127" s="2414"/>
      <c r="J127" s="1550"/>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c r="AJ127" s="413"/>
      <c r="AK127" s="413"/>
      <c r="AL127" s="413"/>
      <c r="AM127" s="2175"/>
      <c r="AN127" s="2175"/>
      <c r="AO127" s="2175"/>
      <c r="AP127" s="2175"/>
      <c r="AQ127" s="2175"/>
      <c r="AR127" s="2175"/>
      <c r="AS127" s="2175"/>
      <c r="AT127" s="2175"/>
      <c r="AU127" s="2351"/>
      <c r="AV127" s="2175"/>
      <c r="AW127" s="2348"/>
      <c r="AX127" s="2378"/>
    </row>
    <row r="128" spans="1:50" ht="15.75">
      <c r="A128" s="413"/>
      <c r="B128" s="2417"/>
      <c r="C128" s="527" t="s">
        <v>1125</v>
      </c>
      <c r="D128" s="527"/>
      <c r="E128" s="527"/>
      <c r="F128" s="521">
        <v>380</v>
      </c>
      <c r="G128" s="516">
        <v>0</v>
      </c>
      <c r="H128" s="516">
        <v>30</v>
      </c>
      <c r="I128" s="2414"/>
      <c r="J128" s="1550"/>
      <c r="K128" s="413"/>
      <c r="L128" s="413"/>
      <c r="M128" s="2430"/>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c r="AJ128" s="413"/>
      <c r="AK128" s="413"/>
      <c r="AL128" s="413"/>
      <c r="AM128" s="2175"/>
      <c r="AN128" s="2175"/>
      <c r="AO128" s="2175"/>
      <c r="AP128" s="2175"/>
      <c r="AQ128" s="2175"/>
      <c r="AR128" s="2175"/>
      <c r="AS128" s="2175"/>
      <c r="AT128" s="2175"/>
      <c r="AU128" s="2351"/>
      <c r="AV128" s="2175"/>
      <c r="AW128" s="2348"/>
      <c r="AX128" s="2378"/>
    </row>
    <row r="129" spans="1:50" ht="15.75">
      <c r="A129" s="413"/>
      <c r="B129" s="2431"/>
      <c r="C129" s="413"/>
      <c r="D129" s="413"/>
      <c r="E129" s="413"/>
      <c r="F129" s="413"/>
      <c r="G129" s="413"/>
      <c r="H129" s="413"/>
      <c r="I129" s="413"/>
      <c r="J129" s="1550"/>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c r="AJ129" s="413"/>
      <c r="AK129" s="413"/>
      <c r="AL129" s="413"/>
      <c r="AM129" s="2175"/>
      <c r="AN129" s="2175"/>
      <c r="AO129" s="2175"/>
      <c r="AP129" s="2175"/>
      <c r="AQ129" s="2175"/>
      <c r="AR129" s="2175"/>
      <c r="AS129" s="2175"/>
      <c r="AT129" s="2175"/>
      <c r="AU129" s="2351"/>
      <c r="AV129" s="2175"/>
      <c r="AW129" s="2348"/>
      <c r="AX129" s="2378"/>
    </row>
    <row r="130" spans="1:50" ht="15.75">
      <c r="A130" s="413"/>
      <c r="B130" s="2415"/>
      <c r="C130" s="520" t="s">
        <v>1129</v>
      </c>
      <c r="D130" s="520"/>
      <c r="E130" s="520"/>
      <c r="F130" s="526">
        <v>373</v>
      </c>
      <c r="G130" s="310">
        <v>1</v>
      </c>
      <c r="H130" s="310"/>
      <c r="I130" s="2432" t="s">
        <v>1130</v>
      </c>
      <c r="J130" s="1550"/>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c r="AJ130" s="413"/>
      <c r="AK130" s="413"/>
      <c r="AL130" s="413"/>
      <c r="AM130" s="2175"/>
      <c r="AN130" s="2175"/>
      <c r="AO130" s="2175"/>
      <c r="AP130" s="2175"/>
      <c r="AQ130" s="2175"/>
      <c r="AR130" s="2175"/>
      <c r="AS130" s="2175"/>
      <c r="AT130" s="2175"/>
      <c r="AU130" s="2351"/>
      <c r="AV130" s="2175"/>
      <c r="AW130" s="2348"/>
      <c r="AX130" s="2378"/>
    </row>
    <row r="131" spans="1:50" ht="15.75">
      <c r="A131" s="413"/>
      <c r="B131" s="2431"/>
      <c r="C131" s="520" t="s">
        <v>1131</v>
      </c>
      <c r="D131" s="520"/>
      <c r="E131" s="520"/>
      <c r="F131" s="526">
        <v>373</v>
      </c>
      <c r="G131" s="310">
        <v>1</v>
      </c>
      <c r="H131" s="310">
        <v>13</v>
      </c>
      <c r="I131" s="2432" t="s">
        <v>1130</v>
      </c>
      <c r="J131" s="1550"/>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c r="AJ131" s="413"/>
      <c r="AK131" s="413"/>
      <c r="AL131" s="413"/>
      <c r="AM131" s="2175"/>
      <c r="AN131" s="2175"/>
      <c r="AO131" s="2175"/>
      <c r="AP131" s="2175"/>
      <c r="AQ131" s="2175"/>
      <c r="AR131" s="2175"/>
      <c r="AS131" s="2175"/>
      <c r="AT131" s="2175"/>
      <c r="AU131" s="2351"/>
      <c r="AV131" s="2175"/>
      <c r="AW131" s="2348"/>
      <c r="AX131" s="2378"/>
    </row>
    <row r="132" spans="1:50" ht="15.75">
      <c r="A132" s="413"/>
      <c r="B132" s="2431"/>
      <c r="C132" s="520" t="s">
        <v>1132</v>
      </c>
      <c r="D132" s="520"/>
      <c r="E132" s="520"/>
      <c r="F132" s="526">
        <v>373</v>
      </c>
      <c r="G132" s="310">
        <v>1</v>
      </c>
      <c r="H132" s="310">
        <v>43</v>
      </c>
      <c r="I132" s="2432" t="s">
        <v>1130</v>
      </c>
      <c r="J132" s="1550"/>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c r="AJ132" s="413"/>
      <c r="AK132" s="413"/>
      <c r="AL132" s="413"/>
      <c r="AM132" s="2175"/>
      <c r="AN132" s="2175"/>
      <c r="AO132" s="2175"/>
      <c r="AP132" s="2175"/>
      <c r="AQ132" s="2175"/>
      <c r="AR132" s="2175"/>
      <c r="AS132" s="2175"/>
      <c r="AT132" s="2175"/>
      <c r="AU132" s="2351"/>
      <c r="AV132" s="2175"/>
      <c r="AW132" s="2348"/>
      <c r="AX132" s="2378"/>
    </row>
    <row r="133" spans="1:50" ht="15.75">
      <c r="A133" s="413"/>
      <c r="B133" s="2431"/>
      <c r="C133" s="520"/>
      <c r="D133" s="520"/>
      <c r="E133" s="520"/>
      <c r="F133" s="526"/>
      <c r="G133" s="310"/>
      <c r="H133" s="310"/>
      <c r="I133" s="413"/>
      <c r="J133" s="1550"/>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c r="AJ133" s="413"/>
      <c r="AK133" s="413"/>
      <c r="AL133" s="413"/>
      <c r="AM133" s="2175"/>
      <c r="AN133" s="2175"/>
      <c r="AO133" s="2175"/>
      <c r="AP133" s="2175"/>
      <c r="AQ133" s="2175"/>
      <c r="AR133" s="2175"/>
      <c r="AS133" s="2175"/>
      <c r="AT133" s="2175"/>
      <c r="AU133" s="2351"/>
      <c r="AV133" s="2175"/>
      <c r="AW133" s="2348"/>
      <c r="AX133" s="2378"/>
    </row>
    <row r="134" spans="1:50" ht="15.75">
      <c r="A134" s="413"/>
      <c r="B134" s="2431"/>
      <c r="C134" s="520" t="s">
        <v>1133</v>
      </c>
      <c r="D134" s="520"/>
      <c r="E134" s="520"/>
      <c r="F134" s="526">
        <v>300</v>
      </c>
      <c r="G134" s="310">
        <v>1</v>
      </c>
      <c r="H134" s="310">
        <v>2</v>
      </c>
      <c r="I134" s="2432" t="s">
        <v>1134</v>
      </c>
      <c r="J134" s="1550"/>
      <c r="K134" s="413"/>
      <c r="L134" s="413"/>
      <c r="M134" s="413"/>
      <c r="N134" s="413"/>
      <c r="O134" s="413"/>
      <c r="P134" s="413"/>
      <c r="Q134" s="413"/>
      <c r="R134" s="413"/>
      <c r="S134" s="413"/>
      <c r="T134" s="413"/>
      <c r="U134" s="413"/>
      <c r="V134" s="413"/>
      <c r="W134" s="2414"/>
      <c r="X134" s="413"/>
      <c r="Y134" s="413"/>
      <c r="Z134" s="413"/>
      <c r="AA134" s="413"/>
      <c r="AB134" s="413"/>
      <c r="AC134" s="413"/>
      <c r="AD134" s="413"/>
      <c r="AE134" s="413"/>
      <c r="AF134" s="413"/>
      <c r="AG134" s="413"/>
      <c r="AH134" s="413"/>
      <c r="AI134" s="413"/>
      <c r="AJ134" s="413"/>
      <c r="AK134" s="413"/>
      <c r="AL134" s="413"/>
      <c r="AM134" s="2175"/>
      <c r="AN134" s="2175"/>
      <c r="AO134" s="2175"/>
      <c r="AP134" s="2175"/>
      <c r="AQ134" s="2175"/>
      <c r="AR134" s="2175"/>
      <c r="AS134" s="2175"/>
      <c r="AT134" s="2175"/>
      <c r="AU134" s="2351"/>
      <c r="AV134" s="2175"/>
      <c r="AW134" s="2348"/>
      <c r="AX134" s="2378"/>
    </row>
    <row r="135" spans="1:50" ht="15.75">
      <c r="A135" s="413"/>
      <c r="B135" s="2431"/>
      <c r="C135" s="520" t="s">
        <v>1135</v>
      </c>
      <c r="D135" s="520"/>
      <c r="E135" s="520"/>
      <c r="F135" s="526">
        <v>300</v>
      </c>
      <c r="G135" s="310">
        <v>1</v>
      </c>
      <c r="H135" s="310">
        <v>89</v>
      </c>
      <c r="I135" s="2432" t="s">
        <v>1134</v>
      </c>
      <c r="J135" s="1550"/>
      <c r="K135" s="413"/>
      <c r="L135" s="413"/>
      <c r="M135" s="413"/>
      <c r="N135" s="2430"/>
      <c r="O135" s="413"/>
      <c r="P135" s="2414"/>
      <c r="Q135" s="2430"/>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2175"/>
      <c r="AN135" s="2175"/>
      <c r="AO135" s="2175"/>
      <c r="AP135" s="2175"/>
      <c r="AQ135" s="2175"/>
      <c r="AR135" s="2175"/>
      <c r="AS135" s="2175"/>
      <c r="AT135" s="2175"/>
      <c r="AU135" s="2351"/>
      <c r="AV135" s="2175"/>
      <c r="AW135" s="2348"/>
      <c r="AX135" s="2378"/>
    </row>
    <row r="136" spans="1:50" ht="15.75">
      <c r="A136" s="413"/>
      <c r="B136" s="2431"/>
      <c r="C136" s="520" t="s">
        <v>1136</v>
      </c>
      <c r="D136" s="520"/>
      <c r="E136" s="520"/>
      <c r="F136" s="526">
        <v>300</v>
      </c>
      <c r="G136" s="310">
        <v>1</v>
      </c>
      <c r="H136" s="310">
        <v>178</v>
      </c>
      <c r="I136" s="2432" t="s">
        <v>1134</v>
      </c>
      <c r="J136" s="1550"/>
      <c r="K136" s="413"/>
      <c r="L136" s="413"/>
      <c r="M136" s="413"/>
      <c r="N136" s="413"/>
      <c r="O136" s="413"/>
      <c r="P136" s="413"/>
      <c r="Q136" s="413"/>
      <c r="R136" s="2430"/>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2175"/>
      <c r="AN136" s="2175"/>
      <c r="AO136" s="2175"/>
      <c r="AP136" s="2175"/>
      <c r="AQ136" s="2175"/>
      <c r="AR136" s="2175"/>
      <c r="AS136" s="2175"/>
      <c r="AT136" s="2175"/>
      <c r="AU136" s="2351"/>
      <c r="AV136" s="2175"/>
      <c r="AW136" s="2348"/>
      <c r="AX136" s="2378"/>
    </row>
    <row r="137" spans="1:50" ht="15.75">
      <c r="A137" s="413"/>
      <c r="B137" s="2431"/>
      <c r="C137" s="413"/>
      <c r="D137" s="413"/>
      <c r="E137" s="413"/>
      <c r="F137" s="413"/>
      <c r="G137" s="413"/>
      <c r="H137" s="413"/>
      <c r="I137" s="413"/>
      <c r="J137" s="1550"/>
      <c r="K137" s="413"/>
      <c r="L137" s="413"/>
      <c r="M137" s="413"/>
      <c r="N137" s="413"/>
      <c r="O137" s="413"/>
      <c r="P137" s="413"/>
      <c r="Q137" s="413"/>
      <c r="R137" s="2430"/>
      <c r="S137" s="413"/>
      <c r="T137" s="413"/>
      <c r="U137" s="413"/>
      <c r="V137" s="413"/>
      <c r="W137" s="413"/>
      <c r="X137" s="413"/>
      <c r="Y137" s="413"/>
      <c r="Z137" s="413"/>
      <c r="AA137" s="413"/>
      <c r="AB137" s="413"/>
      <c r="AC137" s="413"/>
      <c r="AD137" s="413"/>
      <c r="AE137" s="413"/>
      <c r="AF137" s="413"/>
      <c r="AG137" s="413"/>
      <c r="AH137" s="413"/>
      <c r="AI137" s="413"/>
      <c r="AJ137" s="413"/>
      <c r="AK137" s="413"/>
      <c r="AL137" s="413"/>
      <c r="AM137" s="2175"/>
      <c r="AN137" s="2175"/>
      <c r="AO137" s="2175"/>
      <c r="AP137" s="2175"/>
      <c r="AQ137" s="2175"/>
      <c r="AR137" s="2175"/>
      <c r="AS137" s="2175"/>
      <c r="AT137" s="2175"/>
      <c r="AU137" s="2351"/>
      <c r="AV137" s="2175"/>
      <c r="AW137" s="2348"/>
      <c r="AX137" s="2378"/>
    </row>
    <row r="138" spans="1:50" ht="15.75">
      <c r="A138" s="413"/>
      <c r="B138" s="2431"/>
      <c r="C138" s="304" t="s">
        <v>107</v>
      </c>
      <c r="D138" s="304"/>
      <c r="E138" s="304"/>
      <c r="F138" s="3709" t="s">
        <v>1137</v>
      </c>
      <c r="G138" s="3709"/>
      <c r="H138" s="3709"/>
      <c r="I138" s="3709"/>
      <c r="J138" s="3709"/>
      <c r="K138" s="413"/>
      <c r="L138" s="413"/>
      <c r="M138" s="413"/>
      <c r="N138" s="2430"/>
      <c r="O138" s="413"/>
      <c r="P138" s="2414"/>
      <c r="Q138" s="413"/>
      <c r="R138" s="2430"/>
      <c r="S138" s="413"/>
      <c r="T138" s="413"/>
      <c r="U138" s="413"/>
      <c r="V138" s="413"/>
      <c r="W138" s="413"/>
      <c r="X138" s="413"/>
      <c r="Y138" s="413"/>
      <c r="Z138" s="413"/>
      <c r="AA138" s="413"/>
      <c r="AB138" s="413"/>
      <c r="AC138" s="413"/>
      <c r="AD138" s="413"/>
      <c r="AE138" s="413"/>
      <c r="AF138" s="413"/>
      <c r="AG138" s="413"/>
      <c r="AH138" s="413"/>
      <c r="AI138" s="413"/>
      <c r="AJ138" s="413"/>
      <c r="AK138" s="413"/>
      <c r="AL138" s="413"/>
      <c r="AM138" s="2175"/>
      <c r="AN138" s="2175"/>
      <c r="AO138" s="2175"/>
      <c r="AP138" s="2175"/>
      <c r="AQ138" s="2175"/>
      <c r="AR138" s="2175"/>
      <c r="AS138" s="2175"/>
      <c r="AT138" s="2175"/>
      <c r="AU138" s="2351"/>
      <c r="AV138" s="2175"/>
      <c r="AW138" s="2348"/>
      <c r="AX138" s="2378"/>
    </row>
    <row r="139" spans="1:50" ht="15.75">
      <c r="A139" s="413"/>
      <c r="B139" s="2431"/>
      <c r="C139" s="520" t="s">
        <v>110</v>
      </c>
      <c r="D139" s="520"/>
      <c r="E139" s="520"/>
      <c r="F139" s="310">
        <v>360</v>
      </c>
      <c r="G139" s="310">
        <v>1</v>
      </c>
      <c r="H139" s="411">
        <v>30</v>
      </c>
      <c r="I139" s="2432" t="s">
        <v>1130</v>
      </c>
      <c r="J139" s="1550"/>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c r="AJ139" s="413"/>
      <c r="AK139" s="413"/>
      <c r="AL139" s="413"/>
      <c r="AM139" s="2175"/>
      <c r="AN139" s="2175"/>
      <c r="AO139" s="2175"/>
      <c r="AP139" s="2175"/>
      <c r="AQ139" s="2175"/>
      <c r="AR139" s="2175"/>
      <c r="AS139" s="2175"/>
      <c r="AT139" s="2175"/>
      <c r="AU139" s="2351"/>
      <c r="AV139" s="2175"/>
      <c r="AW139" s="2348"/>
      <c r="AX139" s="2378"/>
    </row>
    <row r="140" spans="1:50" ht="15.75">
      <c r="A140" s="413"/>
      <c r="B140" s="2431"/>
      <c r="C140" s="520" t="s">
        <v>111</v>
      </c>
      <c r="D140" s="520"/>
      <c r="E140" s="520"/>
      <c r="F140" s="310">
        <v>360</v>
      </c>
      <c r="G140" s="310">
        <v>1</v>
      </c>
      <c r="H140" s="411">
        <v>65</v>
      </c>
      <c r="I140" s="2432" t="s">
        <v>1130</v>
      </c>
      <c r="J140" s="1550"/>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c r="AJ140" s="413"/>
      <c r="AK140" s="413"/>
      <c r="AL140" s="413"/>
      <c r="AM140" s="2175"/>
      <c r="AN140" s="2175"/>
      <c r="AO140" s="2175"/>
      <c r="AP140" s="2175"/>
      <c r="AQ140" s="2175"/>
      <c r="AR140" s="2175"/>
      <c r="AS140" s="2175"/>
      <c r="AT140" s="2175"/>
      <c r="AU140" s="2351"/>
      <c r="AV140" s="2175"/>
      <c r="AW140" s="2348"/>
      <c r="AX140" s="2378"/>
    </row>
    <row r="141" spans="1:50" ht="15.75">
      <c r="A141" s="413"/>
      <c r="B141" s="2431"/>
      <c r="C141" s="520" t="s">
        <v>112</v>
      </c>
      <c r="D141" s="520"/>
      <c r="E141" s="520"/>
      <c r="F141" s="310">
        <v>360</v>
      </c>
      <c r="G141" s="310">
        <v>1</v>
      </c>
      <c r="H141" s="411">
        <v>130</v>
      </c>
      <c r="I141" s="2432" t="s">
        <v>1130</v>
      </c>
      <c r="J141" s="1550"/>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c r="AJ141" s="413"/>
      <c r="AK141" s="413"/>
      <c r="AL141" s="413"/>
      <c r="AM141" s="2175"/>
      <c r="AN141" s="2175"/>
      <c r="AO141" s="2175"/>
      <c r="AP141" s="2175"/>
      <c r="AQ141" s="2175"/>
      <c r="AR141" s="2175"/>
      <c r="AS141" s="2175"/>
      <c r="AT141" s="2175"/>
      <c r="AU141" s="2351"/>
      <c r="AV141" s="2175"/>
      <c r="AW141" s="2348"/>
      <c r="AX141" s="2378"/>
    </row>
    <row r="142" spans="1:50" ht="15.75">
      <c r="A142" s="413"/>
      <c r="B142" s="2431"/>
      <c r="C142" s="520" t="s">
        <v>115</v>
      </c>
      <c r="D142" s="520"/>
      <c r="E142" s="520"/>
      <c r="F142" s="310">
        <v>360</v>
      </c>
      <c r="G142" s="310">
        <v>1</v>
      </c>
      <c r="H142" s="411">
        <v>600</v>
      </c>
      <c r="I142" s="2432" t="s">
        <v>1130</v>
      </c>
      <c r="J142" s="1550"/>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c r="AJ142" s="413"/>
      <c r="AK142" s="413"/>
      <c r="AL142" s="413"/>
      <c r="AM142" s="2175"/>
      <c r="AN142" s="2175"/>
      <c r="AO142" s="2175"/>
      <c r="AP142" s="2175"/>
      <c r="AQ142" s="2175"/>
      <c r="AR142" s="2175"/>
      <c r="AS142" s="2175"/>
      <c r="AT142" s="2175"/>
      <c r="AU142" s="2351"/>
      <c r="AV142" s="2175"/>
      <c r="AW142" s="2348"/>
      <c r="AX142" s="2378"/>
    </row>
    <row r="143" spans="1:50" ht="15.75">
      <c r="A143" s="413"/>
      <c r="B143" s="2431"/>
      <c r="C143" s="304"/>
      <c r="D143" s="304"/>
      <c r="E143" s="304"/>
      <c r="F143" s="304"/>
      <c r="G143" s="304"/>
      <c r="H143" s="304"/>
      <c r="I143" s="413"/>
      <c r="J143" s="1550"/>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2175"/>
      <c r="AN143" s="2175"/>
      <c r="AO143" s="2175"/>
      <c r="AP143" s="2175"/>
      <c r="AQ143" s="2175"/>
      <c r="AR143" s="2175"/>
      <c r="AS143" s="2175"/>
      <c r="AT143" s="2175"/>
      <c r="AU143" s="2351"/>
      <c r="AV143" s="2175"/>
      <c r="AW143" s="2348"/>
      <c r="AX143" s="2378"/>
    </row>
    <row r="144" spans="1:50" ht="15.75" customHeight="1">
      <c r="A144" s="413"/>
      <c r="B144" s="2431"/>
      <c r="C144" s="304" t="s">
        <v>116</v>
      </c>
      <c r="D144" s="304"/>
      <c r="E144" s="304"/>
      <c r="F144" s="304"/>
      <c r="G144" s="304"/>
      <c r="H144" s="304"/>
      <c r="I144" s="413"/>
      <c r="J144" s="1550"/>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c r="AJ144" s="413"/>
      <c r="AK144" s="413"/>
      <c r="AL144" s="413"/>
      <c r="AM144" s="2175"/>
      <c r="AN144" s="2175"/>
      <c r="AO144" s="2175"/>
      <c r="AP144" s="2175"/>
      <c r="AQ144" s="2175"/>
      <c r="AR144" s="2175"/>
      <c r="AS144" s="2175"/>
      <c r="AT144" s="2175"/>
      <c r="AU144" s="2351"/>
      <c r="AV144" s="2175"/>
      <c r="AW144" s="2348"/>
      <c r="AX144" s="2378"/>
    </row>
    <row r="145" spans="1:50" ht="15.75">
      <c r="A145" s="413"/>
      <c r="B145" s="2431"/>
      <c r="C145" s="520" t="s">
        <v>1138</v>
      </c>
      <c r="D145" s="520"/>
      <c r="E145" s="520"/>
      <c r="F145" s="310">
        <v>319</v>
      </c>
      <c r="G145" s="310">
        <v>1</v>
      </c>
      <c r="H145" s="411">
        <v>24</v>
      </c>
      <c r="I145" s="2432" t="s">
        <v>1134</v>
      </c>
      <c r="J145" s="1550"/>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c r="AJ145" s="413"/>
      <c r="AK145" s="413"/>
      <c r="AL145" s="413"/>
      <c r="AM145" s="2175"/>
      <c r="AN145" s="2175"/>
      <c r="AO145" s="2175"/>
      <c r="AP145" s="2175"/>
      <c r="AQ145" s="2175"/>
      <c r="AR145" s="2175"/>
      <c r="AS145" s="2175"/>
      <c r="AT145" s="2175"/>
      <c r="AU145" s="2351"/>
      <c r="AV145" s="2175"/>
      <c r="AW145" s="2348"/>
      <c r="AX145" s="2378"/>
    </row>
    <row r="146" spans="1:50" ht="15.75">
      <c r="A146" s="413"/>
      <c r="B146" s="2431"/>
      <c r="C146" s="520" t="s">
        <v>1139</v>
      </c>
      <c r="D146" s="520"/>
      <c r="E146" s="520"/>
      <c r="F146" s="310">
        <v>319</v>
      </c>
      <c r="G146" s="310">
        <v>1</v>
      </c>
      <c r="H146" s="411">
        <v>53</v>
      </c>
      <c r="I146" s="2432" t="s">
        <v>1134</v>
      </c>
      <c r="J146" s="1550"/>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2175"/>
      <c r="AN146" s="2175"/>
      <c r="AO146" s="2175"/>
      <c r="AP146" s="2175"/>
      <c r="AQ146" s="2175"/>
      <c r="AR146" s="2175"/>
      <c r="AS146" s="2175"/>
      <c r="AT146" s="2175"/>
      <c r="AU146" s="2351"/>
      <c r="AV146" s="2175"/>
      <c r="AW146" s="2348"/>
      <c r="AX146" s="2378"/>
    </row>
    <row r="147" spans="1:50" ht="15.75">
      <c r="A147" s="413"/>
      <c r="B147" s="2431"/>
      <c r="C147" s="520" t="s">
        <v>1140</v>
      </c>
      <c r="D147" s="520"/>
      <c r="E147" s="520"/>
      <c r="F147" s="310">
        <v>319</v>
      </c>
      <c r="G147" s="310">
        <v>1</v>
      </c>
      <c r="H147" s="411">
        <v>105</v>
      </c>
      <c r="I147" s="2432" t="s">
        <v>1134</v>
      </c>
      <c r="J147" s="1550"/>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c r="AJ147" s="413"/>
      <c r="AK147" s="413"/>
      <c r="AL147" s="413"/>
      <c r="AM147" s="2175"/>
      <c r="AN147" s="2175"/>
      <c r="AO147" s="2175"/>
      <c r="AP147" s="2175"/>
      <c r="AQ147" s="2175"/>
      <c r="AR147" s="2175"/>
      <c r="AS147" s="2175"/>
      <c r="AT147" s="2175"/>
      <c r="AU147" s="2351"/>
      <c r="AV147" s="2175"/>
      <c r="AW147" s="2348"/>
      <c r="AX147" s="2378"/>
    </row>
    <row r="148" spans="1:50" ht="15.75">
      <c r="A148" s="413"/>
      <c r="B148" s="2431"/>
      <c r="C148" s="520" t="s">
        <v>1141</v>
      </c>
      <c r="D148" s="520"/>
      <c r="E148" s="520"/>
      <c r="F148" s="310">
        <v>319</v>
      </c>
      <c r="G148" s="310">
        <v>1</v>
      </c>
      <c r="H148" s="411">
        <v>530</v>
      </c>
      <c r="I148" s="2432" t="s">
        <v>1134</v>
      </c>
      <c r="J148" s="1550"/>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c r="AJ148" s="413"/>
      <c r="AK148" s="413"/>
      <c r="AL148" s="413"/>
      <c r="AM148" s="2175"/>
      <c r="AN148" s="2175"/>
      <c r="AO148" s="2175"/>
      <c r="AP148" s="2175"/>
      <c r="AQ148" s="2175"/>
      <c r="AR148" s="2175"/>
      <c r="AS148" s="2175"/>
      <c r="AT148" s="2175"/>
      <c r="AU148" s="2351"/>
      <c r="AV148" s="2175"/>
      <c r="AW148" s="2348"/>
      <c r="AX148" s="2378"/>
    </row>
    <row r="149" spans="1:50" ht="15.75">
      <c r="A149" s="413"/>
      <c r="B149" s="2433"/>
      <c r="C149" s="2424"/>
      <c r="D149" s="1823"/>
      <c r="E149" s="1823"/>
      <c r="F149" s="2424"/>
      <c r="G149" s="2424"/>
      <c r="H149" s="2424"/>
      <c r="I149" s="2424"/>
      <c r="J149" s="1552"/>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c r="AJ149" s="413"/>
      <c r="AK149" s="413"/>
      <c r="AL149" s="413"/>
      <c r="AM149" s="2175"/>
      <c r="AN149" s="2175"/>
      <c r="AO149" s="2175"/>
      <c r="AP149" s="2175"/>
      <c r="AQ149" s="2175"/>
      <c r="AR149" s="2175"/>
      <c r="AS149" s="2175"/>
      <c r="AT149" s="2175"/>
      <c r="AU149" s="2351"/>
      <c r="AV149" s="2175"/>
      <c r="AW149" s="2348"/>
      <c r="AX149" s="2378"/>
    </row>
  </sheetData>
  <sheetProtection password="FA80" sheet="1" objects="1" scenarios="1"/>
  <mergeCells count="233">
    <mergeCell ref="AM35:AS35"/>
    <mergeCell ref="AN36:AO36"/>
    <mergeCell ref="AQ36:AR36"/>
    <mergeCell ref="AN37:AO37"/>
    <mergeCell ref="AQ37:AR37"/>
    <mergeCell ref="AN38:AO38"/>
    <mergeCell ref="AQ38:AR38"/>
    <mergeCell ref="AN39:AO39"/>
    <mergeCell ref="AQ39:AR39"/>
    <mergeCell ref="AU2:AV2"/>
    <mergeCell ref="AU3:AV3"/>
    <mergeCell ref="AU4:AV4"/>
    <mergeCell ref="AU5:AV5"/>
    <mergeCell ref="AU6:AV6"/>
    <mergeCell ref="AU7:AV7"/>
    <mergeCell ref="AU8:AV8"/>
    <mergeCell ref="AQ7:AR7"/>
    <mergeCell ref="AO8:AP8"/>
    <mergeCell ref="AQ8:AR8"/>
    <mergeCell ref="AO2:AP2"/>
    <mergeCell ref="AQ2:AR2"/>
    <mergeCell ref="AO3:AP3"/>
    <mergeCell ref="AQ3:AR3"/>
    <mergeCell ref="AO4:AP4"/>
    <mergeCell ref="AQ4:AR4"/>
    <mergeCell ref="AO5:AP5"/>
    <mergeCell ref="AQ5:AR5"/>
    <mergeCell ref="AO6:AP6"/>
    <mergeCell ref="AQ6:AR6"/>
    <mergeCell ref="AO7:AP7"/>
    <mergeCell ref="P5:T6"/>
    <mergeCell ref="B13:C13"/>
    <mergeCell ref="G13:I13"/>
    <mergeCell ref="L13:N13"/>
    <mergeCell ref="B14:C14"/>
    <mergeCell ref="G14:J14"/>
    <mergeCell ref="L14:N14"/>
    <mergeCell ref="B11:C11"/>
    <mergeCell ref="G11:I11"/>
    <mergeCell ref="L11:N11"/>
    <mergeCell ref="B12:C12"/>
    <mergeCell ref="G12:I12"/>
    <mergeCell ref="L12:N12"/>
    <mergeCell ref="B10:C10"/>
    <mergeCell ref="T27:T28"/>
    <mergeCell ref="B23:K23"/>
    <mergeCell ref="L23:Q23"/>
    <mergeCell ref="R23:T23"/>
    <mergeCell ref="I1:M1"/>
    <mergeCell ref="S1:T1"/>
    <mergeCell ref="J2:K2"/>
    <mergeCell ref="R2:T2"/>
    <mergeCell ref="R3:T3"/>
    <mergeCell ref="G10:I10"/>
    <mergeCell ref="L10:N10"/>
    <mergeCell ref="O10:P10"/>
    <mergeCell ref="Q10:R10"/>
    <mergeCell ref="S10:T10"/>
    <mergeCell ref="L9:T9"/>
    <mergeCell ref="B8:F8"/>
    <mergeCell ref="G8:J8"/>
    <mergeCell ref="L8:T8"/>
    <mergeCell ref="B9:C9"/>
    <mergeCell ref="E4:J4"/>
    <mergeCell ref="G9:I9"/>
    <mergeCell ref="L16:N16"/>
    <mergeCell ref="L27:L28"/>
    <mergeCell ref="R4:T4"/>
    <mergeCell ref="M27:M28"/>
    <mergeCell ref="N27:N28"/>
    <mergeCell ref="O27:O28"/>
    <mergeCell ref="P27:P28"/>
    <mergeCell ref="Q27:Q28"/>
    <mergeCell ref="R27:R28"/>
    <mergeCell ref="S27:S28"/>
    <mergeCell ref="D44:F44"/>
    <mergeCell ref="E45:F45"/>
    <mergeCell ref="C51:G51"/>
    <mergeCell ref="E46:F46"/>
    <mergeCell ref="C52:E52"/>
    <mergeCell ref="E47:I47"/>
    <mergeCell ref="E48:F48"/>
    <mergeCell ref="C49:F49"/>
    <mergeCell ref="B36:C36"/>
    <mergeCell ref="AT58:AV58"/>
    <mergeCell ref="J59:K59"/>
    <mergeCell ref="AQ58:AS58"/>
    <mergeCell ref="J56:K56"/>
    <mergeCell ref="B54:C54"/>
    <mergeCell ref="B55:F55"/>
    <mergeCell ref="AN40:AO40"/>
    <mergeCell ref="AQ40:AR40"/>
    <mergeCell ref="AN41:AO41"/>
    <mergeCell ref="AQ41:AR41"/>
    <mergeCell ref="J60:K60"/>
    <mergeCell ref="J61:K61"/>
    <mergeCell ref="J62:K62"/>
    <mergeCell ref="J63:K63"/>
    <mergeCell ref="J58:K58"/>
    <mergeCell ref="M58:N59"/>
    <mergeCell ref="P58:Q59"/>
    <mergeCell ref="S58:T59"/>
    <mergeCell ref="AN58:AP58"/>
    <mergeCell ref="AN63:AP63"/>
    <mergeCell ref="AQ63:AS63"/>
    <mergeCell ref="AT63:AV63"/>
    <mergeCell ref="M104:O104"/>
    <mergeCell ref="Q104:R104"/>
    <mergeCell ref="L105:T105"/>
    <mergeCell ref="B110:C110"/>
    <mergeCell ref="B120:C120"/>
    <mergeCell ref="F138:J138"/>
    <mergeCell ref="B98:C98"/>
    <mergeCell ref="N98:O98"/>
    <mergeCell ref="N99:O99"/>
    <mergeCell ref="L100:O100"/>
    <mergeCell ref="L102:M102"/>
    <mergeCell ref="L103:M103"/>
    <mergeCell ref="S78:T78"/>
    <mergeCell ref="K82:M85"/>
    <mergeCell ref="B94:I94"/>
    <mergeCell ref="N94:Q94"/>
    <mergeCell ref="R94:T94"/>
    <mergeCell ref="B96:C96"/>
    <mergeCell ref="J67:K67"/>
    <mergeCell ref="R75:S75"/>
    <mergeCell ref="C97:H97"/>
    <mergeCell ref="L97:M97"/>
    <mergeCell ref="N91:Q91"/>
    <mergeCell ref="R91:T91"/>
    <mergeCell ref="N92:Q92"/>
    <mergeCell ref="R92:T92"/>
    <mergeCell ref="N93:Q93"/>
    <mergeCell ref="R93:T93"/>
    <mergeCell ref="S79:T79"/>
    <mergeCell ref="AM1:AN1"/>
    <mergeCell ref="R73:S73"/>
    <mergeCell ref="R72:S72"/>
    <mergeCell ref="M56:N56"/>
    <mergeCell ref="P56:Q56"/>
    <mergeCell ref="S56:T56"/>
    <mergeCell ref="J57:N57"/>
    <mergeCell ref="O57:T57"/>
    <mergeCell ref="AN30:AO30"/>
    <mergeCell ref="AO20:AP20"/>
    <mergeCell ref="AO21:AP21"/>
    <mergeCell ref="AO22:AP22"/>
    <mergeCell ref="AO23:AP23"/>
    <mergeCell ref="J25:K27"/>
    <mergeCell ref="AD27:AF27"/>
    <mergeCell ref="AO10:AP10"/>
    <mergeCell ref="J64:K64"/>
    <mergeCell ref="L64:N64"/>
    <mergeCell ref="O64:Q64"/>
    <mergeCell ref="R64:T64"/>
    <mergeCell ref="J65:K65"/>
    <mergeCell ref="M65:N65"/>
    <mergeCell ref="P65:Q65"/>
    <mergeCell ref="S65:T65"/>
    <mergeCell ref="R66:T69"/>
    <mergeCell ref="J68:N77"/>
    <mergeCell ref="AT19:AU19"/>
    <mergeCell ref="AQ20:AS20"/>
    <mergeCell ref="AT20:AU20"/>
    <mergeCell ref="AM18:AN18"/>
    <mergeCell ref="AM43:AP43"/>
    <mergeCell ref="AN44:AV44"/>
    <mergeCell ref="AN45:AV45"/>
    <mergeCell ref="AN46:AW46"/>
    <mergeCell ref="AO19:AP19"/>
    <mergeCell ref="AN27:AO27"/>
    <mergeCell ref="AQ27:AR27"/>
    <mergeCell ref="AN28:AO28"/>
    <mergeCell ref="AQ28:AR28"/>
    <mergeCell ref="AQ21:AS21"/>
    <mergeCell ref="AT21:AU21"/>
    <mergeCell ref="AQ22:AS22"/>
    <mergeCell ref="AT22:AU22"/>
    <mergeCell ref="AQ23:AS23"/>
    <mergeCell ref="AT23:AU23"/>
    <mergeCell ref="AN29:AO29"/>
    <mergeCell ref="AQ29:AR29"/>
    <mergeCell ref="AT24:AU24"/>
    <mergeCell ref="AQ25:AS25"/>
    <mergeCell ref="AT25:AU25"/>
    <mergeCell ref="A1:C1"/>
    <mergeCell ref="L6:M6"/>
    <mergeCell ref="B4:C4"/>
    <mergeCell ref="E5:H5"/>
    <mergeCell ref="AG27:AI27"/>
    <mergeCell ref="AJ27:AL27"/>
    <mergeCell ref="AJ26:AL26"/>
    <mergeCell ref="L24:Q24"/>
    <mergeCell ref="R24:T24"/>
    <mergeCell ref="B25:C25"/>
    <mergeCell ref="L26:N26"/>
    <mergeCell ref="O26:Q26"/>
    <mergeCell ref="R26:T26"/>
    <mergeCell ref="B17:C17"/>
    <mergeCell ref="G17:J17"/>
    <mergeCell ref="N18:O18"/>
    <mergeCell ref="L25:Q25"/>
    <mergeCell ref="R25:T25"/>
    <mergeCell ref="B15:C15"/>
    <mergeCell ref="G15:J15"/>
    <mergeCell ref="K15:K16"/>
    <mergeCell ref="L15:N15"/>
    <mergeCell ref="B16:C16"/>
    <mergeCell ref="G16:J16"/>
    <mergeCell ref="AQ10:AR10"/>
    <mergeCell ref="AO11:AP11"/>
    <mergeCell ref="AQ11:AR11"/>
    <mergeCell ref="AO12:AP12"/>
    <mergeCell ref="AQ12:AR12"/>
    <mergeCell ref="AQ19:AS19"/>
    <mergeCell ref="AQ13:AR13"/>
    <mergeCell ref="AO14:AP14"/>
    <mergeCell ref="AQ14:AR14"/>
    <mergeCell ref="AO15:AP15"/>
    <mergeCell ref="AQ15:AR15"/>
    <mergeCell ref="AQ16:AR16"/>
    <mergeCell ref="AO16:AP16"/>
    <mergeCell ref="AO13:AP13"/>
    <mergeCell ref="AQ30:AR30"/>
    <mergeCell ref="AN31:AO31"/>
    <mergeCell ref="AQ31:AR31"/>
    <mergeCell ref="AN32:AO32"/>
    <mergeCell ref="AQ32:AR32"/>
    <mergeCell ref="AN33:AO33"/>
    <mergeCell ref="AQ33:AR33"/>
    <mergeCell ref="AO24:AP24"/>
    <mergeCell ref="AO25:AP25"/>
    <mergeCell ref="AQ24:AS24"/>
  </mergeCells>
  <conditionalFormatting sqref="R66">
    <cfRule type="cellIs" dxfId="11" priority="1" stopIfTrue="1" operator="lessThan">
      <formula>"$AP$68"</formula>
    </cfRule>
  </conditionalFormatting>
  <hyperlinks>
    <hyperlink ref="R2" r:id="rId1"/>
    <hyperlink ref="R3" r:id="rId2"/>
    <hyperlink ref="F14" location="'Gluten-Free'!L26" display="'Gluten-Free'!L26"/>
    <hyperlink ref="F15" location="'Gluten-Free'!O26" display="'Gluten-Free'!O26"/>
    <hyperlink ref="F16" location="'Gluten-Free'!R26" display="'Gluten-Free'!R26"/>
    <hyperlink ref="C49" location="'Primer'!D1" display="Priming Calc's. For Beers Etc."/>
    <hyperlink ref="J57" location="'Gluten-Free Calc'!J100" display="See cells J100 etc. for the Isomerised hop extract settings."/>
    <hyperlink ref="K57" location="'Gluten-Free Calc'!J100" display="See cells J100 etc. for the Isomerised hop extract settings."/>
    <hyperlink ref="L57" location="'Wine Calc'!J40" display="Ensure cell J90 is clear!"/>
    <hyperlink ref="M57" location="'Gluten-Free Calc'!J100" display="See cells J100 etc. for the Isomerised hop extract settings."/>
    <hyperlink ref="N57" location="'Gluten-Free Calc'!J100" display="See cells J100 etc. for the Isomerised hop extract settings."/>
    <hyperlink ref="J64" location="'Gluten-Free Calc'!J100" display="See cells J100 etc. for the Isomerised hop extract settings."/>
    <hyperlink ref="K64" location="'Gluten-Free Calc'!J100" display="See cells J100 etc. for the Isomerised hop extract settings."/>
    <hyperlink ref="R92" r:id="rId3"/>
    <hyperlink ref="R93" r:id="rId4"/>
    <hyperlink ref="R94" r:id="rId5"/>
    <hyperlink ref="R95" r:id="rId6" display="www.yobrew.co.uk"/>
    <hyperlink ref="H23" location="'Wine &amp; Cider Calc'!D7" display="'Wine &amp; Cider Calc'!D7"/>
    <hyperlink ref="G23" location="'Wine Calc'!D7" display="'Wine Calc'!D7"/>
    <hyperlink ref="C17" location="'Wine Calc'!B139" display="This assumes that the any vegetables (cells C132:C138) are catered for as per cell B139. Use the above figures as a VERY APPROX. GUIDE only."/>
    <hyperlink ref="R8" r:id="rId7" display="www.PetesPintPot.co.uk"/>
    <hyperlink ref="M26" location="'Wine Calc'!S48" display="When adding water (see cell S48) to a recipe, always err on the side caution as you can add more later if required. The converse is rather more difficult!"/>
    <hyperlink ref="L44" location="'Wine Calc'!J40" display="Ensure cell J90 is clear!"/>
    <hyperlink ref="N1" r:id="rId8" display="www.PetesPintPot.co.uk"/>
    <hyperlink ref="N102" r:id="rId9" display="david.barrow@live.co.uk"/>
    <hyperlink ref="N103" r:id="rId10" display="www.yobrew.co.uk"/>
    <hyperlink ref="A44" location="'Gluten-Free Calc'!J100" display="See cells J100 etc. for the Isomerised hop extract settings."/>
    <hyperlink ref="B44" location="'Gluten-Free Calc'!J100" display="See cells J100 etc. for the Isomerised hop extract settings."/>
    <hyperlink ref="I72" r:id="rId11" display="www.PetesPintPot.co.uk"/>
    <hyperlink ref="I73" r:id="rId12" display="www.colchesterhomebrew.co.uk"/>
    <hyperlink ref="I74" r:id="rId13" display="www.yobrew.co.uk"/>
    <hyperlink ref="I75" r:id="rId14" display="www.yobrew.co.uk"/>
    <hyperlink ref="I91" r:id="rId15" display="www.PetesPintPot.co.uk"/>
    <hyperlink ref="I92" r:id="rId16" display="www.colchesterhomebrew.co.uk"/>
    <hyperlink ref="I93" r:id="rId17" display="www.yobrew.co.uk"/>
    <hyperlink ref="I94" r:id="rId18" display="www.yobrew.co.uk"/>
    <hyperlink ref="J57:N57" location="'Gluten-Free'!L103" display="See cells L103 etc. for the Isomerised hop extract settings."/>
    <hyperlink ref="J64:K64" location="'Gluten-Free'!L103" display="Iso-hop extract bitterness"/>
    <hyperlink ref="R94:T94" r:id="rId19" display="www.yobrew.co.uk"/>
    <hyperlink ref="C42" location="'Gluten-Free'!B55" display="'Gluten-Free'!B55"/>
    <hyperlink ref="R90" r:id="rId20" display="www.PetesPintPot.co.uk"/>
    <hyperlink ref="J67" location="'Gluten-Free Calc'!J94" display="See the Hop Settings"/>
    <hyperlink ref="K67" location="'Gluten-Free Calc'!J94" display="See the Hop Settings"/>
    <hyperlink ref="J67:K67" location="'Gluten-Free'!L98" display="See the Hop Settings"/>
    <hyperlink ref="E4" location="'Extract Calc'!B98" display="Technical Section"/>
    <hyperlink ref="E4:J4" location="'Gluten-Free'!B96" display="To amend / modify any data, please refer to the &quot;Technical Section&quot;."/>
    <hyperlink ref="C43" location="'Gluten-Free'!AM43" display="Priming sugar"/>
    <hyperlink ref="K15:K16" location="'Beer Calc'!AW76" display="'Beer Calc'!AW76"/>
  </hyperlinks>
  <printOptions horizontalCentered="1"/>
  <pageMargins left="0.23622047244094491" right="0.23622047244094491" top="0.47244094488188981" bottom="0.70866141732283472" header="0.31496062992125984" footer="0.31496062992125984"/>
  <pageSetup paperSize="9" scale="50" orientation="portrait" r:id="rId21"/>
  <rowBreaks count="1" manualBreakCount="1">
    <brk id="96" max="17" man="1"/>
  </rowBreaks>
  <drawing r:id="rId22"/>
</worksheet>
</file>

<file path=xl/worksheets/sheet6.xml><?xml version="1.0" encoding="utf-8"?>
<worksheet xmlns="http://schemas.openxmlformats.org/spreadsheetml/2006/main" xmlns:r="http://schemas.openxmlformats.org/officeDocument/2006/relationships">
  <sheetPr>
    <tabColor theme="9" tint="-0.249977111117893"/>
    <pageSetUpPr fitToPage="1"/>
  </sheetPr>
  <dimension ref="A1:T133"/>
  <sheetViews>
    <sheetView zoomScale="75" zoomScaleNormal="75" zoomScaleSheetLayoutView="75" zoomScalePageLayoutView="75" workbookViewId="0">
      <selection activeCell="F1" sqref="F1:O1"/>
    </sheetView>
  </sheetViews>
  <sheetFormatPr defaultRowHeight="15"/>
  <cols>
    <col min="1" max="1" width="9.7109375" style="2732" customWidth="1"/>
    <col min="2" max="2" width="12" style="2732" customWidth="1"/>
    <col min="3" max="9" width="12.42578125" style="2732" customWidth="1"/>
    <col min="10" max="10" width="10.85546875" style="2714" customWidth="1"/>
    <col min="11" max="11" width="10.28515625" style="2714" customWidth="1"/>
    <col min="12" max="12" width="11.140625" style="2714" customWidth="1"/>
    <col min="13" max="13" width="10.85546875" style="2714" customWidth="1"/>
    <col min="14" max="14" width="9.140625" style="2714" customWidth="1"/>
    <col min="15" max="15" width="4.85546875" style="2714" customWidth="1"/>
    <col min="16" max="16" width="29.42578125" style="2732" customWidth="1"/>
    <col min="17" max="19" width="9.85546875" style="2732" customWidth="1"/>
    <col min="20" max="20" width="4.42578125" style="2732" customWidth="1"/>
    <col min="21" max="16384" width="9.140625" style="2732"/>
  </cols>
  <sheetData>
    <row r="1" spans="1:20" ht="39.75" customHeight="1">
      <c r="A1" s="3808" t="s">
        <v>1799</v>
      </c>
      <c r="B1" s="3808"/>
      <c r="C1" s="2730"/>
      <c r="D1" s="2649"/>
      <c r="E1" s="2730"/>
      <c r="F1" s="3809" t="s">
        <v>1707</v>
      </c>
      <c r="G1" s="3809"/>
      <c r="H1" s="3809"/>
      <c r="I1" s="3809"/>
      <c r="J1" s="3809"/>
      <c r="K1" s="3809"/>
      <c r="L1" s="3809"/>
      <c r="M1" s="3809"/>
      <c r="N1" s="3809"/>
      <c r="O1" s="3809"/>
      <c r="P1" s="2650"/>
      <c r="Q1" s="2731"/>
      <c r="R1" s="2731"/>
      <c r="S1" s="2864" t="s">
        <v>1798</v>
      </c>
      <c r="T1" s="2731"/>
    </row>
    <row r="2" spans="1:20" ht="15.75" customHeight="1">
      <c r="A2" s="2651"/>
      <c r="B2" s="2651"/>
      <c r="C2" s="2652"/>
      <c r="D2" s="2653"/>
      <c r="E2" s="2654"/>
      <c r="F2" s="2654"/>
      <c r="G2" s="2733"/>
      <c r="H2" s="2654"/>
      <c r="I2" s="2731"/>
      <c r="J2" s="931"/>
      <c r="K2" s="931"/>
      <c r="L2" s="931"/>
      <c r="M2" s="931"/>
      <c r="N2" s="931"/>
      <c r="O2" s="931"/>
      <c r="P2" s="2731"/>
      <c r="Q2" s="3810" t="s">
        <v>976</v>
      </c>
      <c r="R2" s="3810"/>
      <c r="S2" s="3810"/>
      <c r="T2" s="2731"/>
    </row>
    <row r="3" spans="1:20" ht="15.75" customHeight="1">
      <c r="A3" s="3811" t="s">
        <v>1708</v>
      </c>
      <c r="B3" s="3811"/>
      <c r="C3" s="3811"/>
      <c r="D3" s="3811"/>
      <c r="E3" s="3811"/>
      <c r="F3" s="3811"/>
      <c r="G3" s="3811"/>
      <c r="H3" s="3811"/>
      <c r="I3" s="3811"/>
      <c r="J3" s="3812" t="s">
        <v>1697</v>
      </c>
      <c r="K3" s="3812"/>
      <c r="L3" s="3812"/>
      <c r="M3" s="3812"/>
      <c r="N3" s="3812"/>
      <c r="O3" s="3813" t="s">
        <v>1763</v>
      </c>
      <c r="P3" s="3813"/>
      <c r="Q3" s="3814" t="s">
        <v>1049</v>
      </c>
      <c r="R3" s="3814"/>
      <c r="S3" s="3814"/>
      <c r="T3" s="2731"/>
    </row>
    <row r="4" spans="1:20" ht="15.75" customHeight="1">
      <c r="A4" s="3820" t="s">
        <v>1764</v>
      </c>
      <c r="B4" s="3820"/>
      <c r="C4" s="3820"/>
      <c r="D4" s="3820"/>
      <c r="E4" s="3820"/>
      <c r="F4" s="3820"/>
      <c r="G4" s="3820"/>
      <c r="H4" s="3820"/>
      <c r="I4" s="3820"/>
      <c r="J4" s="2645"/>
      <c r="K4" s="2645"/>
      <c r="L4" s="2645"/>
      <c r="M4" s="2645"/>
      <c r="N4" s="2645"/>
      <c r="O4" s="2645"/>
      <c r="P4" s="2731"/>
      <c r="Q4" s="2731"/>
      <c r="R4" s="2731"/>
      <c r="S4" s="2731"/>
      <c r="T4" s="2731"/>
    </row>
    <row r="5" spans="1:20" ht="15.75" customHeight="1">
      <c r="A5" s="2731"/>
      <c r="B5" s="2731"/>
      <c r="C5" s="2731"/>
      <c r="D5" s="2731"/>
      <c r="E5" s="2731"/>
      <c r="F5" s="2646"/>
      <c r="G5" s="2647"/>
      <c r="H5" s="2647"/>
      <c r="I5" s="2646"/>
      <c r="J5" s="931"/>
      <c r="K5" s="931"/>
      <c r="L5" s="931"/>
      <c r="M5" s="931"/>
      <c r="N5" s="931"/>
      <c r="O5" s="931"/>
      <c r="P5" s="3821" t="s">
        <v>1706</v>
      </c>
      <c r="Q5" s="3821"/>
      <c r="R5" s="3821"/>
      <c r="S5" s="3821"/>
      <c r="T5" s="2818"/>
    </row>
    <row r="6" spans="1:20" ht="15.75" customHeight="1">
      <c r="A6" s="2646"/>
      <c r="B6" s="3822" t="s">
        <v>884</v>
      </c>
      <c r="C6" s="3822"/>
      <c r="D6" s="3822"/>
      <c r="E6" s="3822"/>
      <c r="F6" s="2731"/>
      <c r="G6" s="2731"/>
      <c r="H6" s="2731"/>
      <c r="I6" s="2730"/>
      <c r="J6" s="2734"/>
      <c r="K6" s="3823" t="s">
        <v>1698</v>
      </c>
      <c r="L6" s="3824"/>
      <c r="M6" s="3824"/>
      <c r="N6" s="931"/>
      <c r="O6" s="931"/>
      <c r="P6" s="3825" t="s">
        <v>533</v>
      </c>
      <c r="Q6" s="3827" t="s">
        <v>1709</v>
      </c>
      <c r="R6" s="3827"/>
      <c r="S6" s="2819" t="s">
        <v>169</v>
      </c>
      <c r="T6" s="2731"/>
    </row>
    <row r="7" spans="1:20" ht="15.75" customHeight="1">
      <c r="A7" s="2646"/>
      <c r="B7" s="2657"/>
      <c r="C7" s="2735">
        <v>23</v>
      </c>
      <c r="D7" s="3828" t="s">
        <v>1765</v>
      </c>
      <c r="E7" s="3829"/>
      <c r="F7" s="3830" t="s">
        <v>1753</v>
      </c>
      <c r="G7" s="3831"/>
      <c r="H7" s="2771">
        <v>20.2</v>
      </c>
      <c r="I7" s="2660"/>
      <c r="J7" s="931"/>
      <c r="K7" s="931"/>
      <c r="L7" s="931"/>
      <c r="M7" s="931"/>
      <c r="N7" s="931"/>
      <c r="O7" s="931"/>
      <c r="P7" s="3826"/>
      <c r="Q7" s="2655" t="s">
        <v>170</v>
      </c>
      <c r="R7" s="2655" t="s">
        <v>171</v>
      </c>
      <c r="S7" s="2655" t="s">
        <v>172</v>
      </c>
      <c r="T7" s="2731"/>
    </row>
    <row r="8" spans="1:20" ht="15.75" customHeight="1">
      <c r="A8" s="2646"/>
      <c r="B8" s="2662"/>
      <c r="C8" s="2737" t="s">
        <v>887</v>
      </c>
      <c r="D8" s="2738" t="s">
        <v>897</v>
      </c>
      <c r="E8" s="3835" t="s">
        <v>1711</v>
      </c>
      <c r="F8" s="3835"/>
      <c r="G8" s="3836" t="s">
        <v>1766</v>
      </c>
      <c r="H8" s="3836"/>
      <c r="I8" s="2647"/>
      <c r="J8" s="3837" t="s">
        <v>1673</v>
      </c>
      <c r="K8" s="3837"/>
      <c r="L8" s="3837"/>
      <c r="M8" s="3818" t="str">
        <f>"For ("&amp;M11&amp;" / "&amp;M12&amp;" litres)"</f>
        <v>For (20.2 / 25 litres)</v>
      </c>
      <c r="N8" s="3818"/>
      <c r="O8" s="931"/>
      <c r="P8" s="2656" t="s">
        <v>1710</v>
      </c>
      <c r="Q8" s="2820">
        <v>1.2</v>
      </c>
      <c r="R8" s="2820">
        <v>2.8</v>
      </c>
      <c r="S8" s="2661">
        <f t="shared" ref="S8:S65" si="0">(Q8+R8)/2</f>
        <v>2</v>
      </c>
      <c r="T8" s="2731"/>
    </row>
    <row r="9" spans="1:20" ht="15.75" customHeight="1">
      <c r="A9" s="2646"/>
      <c r="B9" s="2662"/>
      <c r="C9" s="2663" t="s">
        <v>889</v>
      </c>
      <c r="D9" s="2664" t="s">
        <v>1712</v>
      </c>
      <c r="E9" s="3835"/>
      <c r="F9" s="3835"/>
      <c r="G9" s="3836"/>
      <c r="H9" s="3836"/>
      <c r="I9" s="2647"/>
      <c r="J9" s="3819" t="s">
        <v>1674</v>
      </c>
      <c r="K9" s="3819"/>
      <c r="L9" s="3819"/>
      <c r="M9" s="2736">
        <f>C11</f>
        <v>1.7</v>
      </c>
      <c r="N9" s="2821" t="s">
        <v>1675</v>
      </c>
      <c r="O9" s="931"/>
      <c r="P9" s="2656" t="s">
        <v>882</v>
      </c>
      <c r="Q9" s="2820">
        <v>1.5</v>
      </c>
      <c r="R9" s="2820">
        <v>2.5</v>
      </c>
      <c r="S9" s="2661">
        <f t="shared" si="0"/>
        <v>2</v>
      </c>
      <c r="T9" s="2731"/>
    </row>
    <row r="10" spans="1:20" ht="15.75" customHeight="1">
      <c r="A10" s="2646"/>
      <c r="B10" s="2662"/>
      <c r="C10" s="2665" t="s">
        <v>172</v>
      </c>
      <c r="D10" s="2664" t="s">
        <v>174</v>
      </c>
      <c r="E10" s="2772" t="s">
        <v>1740</v>
      </c>
      <c r="F10" s="2772" t="str">
        <f>FIXED($H$7)&amp;" litre"</f>
        <v>20.20 litre</v>
      </c>
      <c r="G10" s="2822" t="s">
        <v>1740</v>
      </c>
      <c r="H10" s="2822" t="str">
        <f>FIXED($H$7)&amp;" litre"</f>
        <v>20.20 litre</v>
      </c>
      <c r="I10" s="2647"/>
      <c r="J10" s="3838" t="s">
        <v>1676</v>
      </c>
      <c r="K10" s="3838"/>
      <c r="L10" s="3838"/>
      <c r="M10" s="2644">
        <v>20</v>
      </c>
      <c r="N10" s="2744" t="s">
        <v>1748</v>
      </c>
      <c r="O10" s="931"/>
      <c r="P10" s="2656" t="s">
        <v>883</v>
      </c>
      <c r="Q10" s="2820">
        <v>2.5</v>
      </c>
      <c r="R10" s="2820">
        <v>2.7</v>
      </c>
      <c r="S10" s="2661">
        <f t="shared" si="0"/>
        <v>2.6</v>
      </c>
      <c r="T10" s="2731"/>
    </row>
    <row r="11" spans="1:20" ht="15.75" customHeight="1">
      <c r="A11" s="2646"/>
      <c r="B11" s="2662"/>
      <c r="C11" s="2740">
        <v>1.7</v>
      </c>
      <c r="D11" s="2741">
        <v>20</v>
      </c>
      <c r="E11" s="2823">
        <f>(C11-VLOOKUP(D11,B90:D133,3))/K72</f>
        <v>3.1412213740458013</v>
      </c>
      <c r="F11" s="2773">
        <f>$H$7*E11</f>
        <v>63.452671755725184</v>
      </c>
      <c r="G11" s="2824">
        <f>($C$11-(VLOOKUP($D$11,$B90:$D133,3)))/K79</f>
        <v>3.3065488147850539</v>
      </c>
      <c r="H11" s="2825">
        <f>$H$7*G11</f>
        <v>66.792286058658092</v>
      </c>
      <c r="I11" s="2647"/>
      <c r="J11" s="3815" t="s">
        <v>1735</v>
      </c>
      <c r="K11" s="3815"/>
      <c r="L11" s="3815"/>
      <c r="M11" s="2779">
        <f>H7</f>
        <v>20.2</v>
      </c>
      <c r="N11" s="2744" t="s">
        <v>150</v>
      </c>
      <c r="O11" s="931"/>
      <c r="P11" s="2656" t="s">
        <v>885</v>
      </c>
      <c r="Q11" s="2820">
        <v>2.2000000000000002</v>
      </c>
      <c r="R11" s="2820">
        <v>2.8</v>
      </c>
      <c r="S11" s="2661">
        <f t="shared" si="0"/>
        <v>2.5</v>
      </c>
      <c r="T11" s="2731"/>
    </row>
    <row r="12" spans="1:20" ht="15.75" customHeight="1">
      <c r="A12" s="2646"/>
      <c r="B12" s="2662"/>
      <c r="C12" s="3816" t="s">
        <v>1713</v>
      </c>
      <c r="D12" s="3816"/>
      <c r="E12" s="2774">
        <f>E11/$D$53</f>
        <v>0.99721313461771477</v>
      </c>
      <c r="F12" s="2775">
        <f>F11/$D$53</f>
        <v>20.143705319277839</v>
      </c>
      <c r="G12" s="2826">
        <f>G11/$D$53</f>
        <v>1.0496980364396997</v>
      </c>
      <c r="H12" s="2827">
        <f>H11/$D$53</f>
        <v>21.203900336081936</v>
      </c>
      <c r="I12" s="2647"/>
      <c r="J12" s="3817" t="s">
        <v>1677</v>
      </c>
      <c r="K12" s="3817"/>
      <c r="L12" s="3817"/>
      <c r="M12" s="2739">
        <v>25</v>
      </c>
      <c r="N12" s="2744" t="s">
        <v>150</v>
      </c>
      <c r="O12" s="931"/>
      <c r="P12" s="2656" t="s">
        <v>886</v>
      </c>
      <c r="Q12" s="2820">
        <v>2.6</v>
      </c>
      <c r="R12" s="2820">
        <v>2.7</v>
      </c>
      <c r="S12" s="2661">
        <f t="shared" si="0"/>
        <v>2.6500000000000004</v>
      </c>
      <c r="T12" s="2731"/>
    </row>
    <row r="13" spans="1:20" ht="15.75" customHeight="1">
      <c r="A13" s="2646"/>
      <c r="B13" s="2729"/>
      <c r="C13" s="2729"/>
      <c r="D13" s="2729"/>
      <c r="E13" s="2729"/>
      <c r="F13" s="2729"/>
      <c r="G13" s="2729"/>
      <c r="H13" s="2729"/>
      <c r="I13" s="2647"/>
      <c r="J13" s="3832" t="s">
        <v>1678</v>
      </c>
      <c r="K13" s="3832"/>
      <c r="L13" s="3832"/>
      <c r="M13" s="2828">
        <f>M15*7225/7605</f>
        <v>94.183348435792283</v>
      </c>
      <c r="N13" s="2742" t="s">
        <v>141</v>
      </c>
      <c r="O13" s="931"/>
      <c r="P13" s="2656" t="s">
        <v>888</v>
      </c>
      <c r="Q13" s="2820">
        <v>2.2999999999999998</v>
      </c>
      <c r="R13" s="2820">
        <v>2.6</v>
      </c>
      <c r="S13" s="2661">
        <f t="shared" si="0"/>
        <v>2.4500000000000002</v>
      </c>
      <c r="T13" s="2731"/>
    </row>
    <row r="14" spans="1:20" ht="15.75" customHeight="1">
      <c r="A14" s="2646"/>
      <c r="B14" s="3833" t="s">
        <v>894</v>
      </c>
      <c r="C14" s="3833"/>
      <c r="D14" s="3833"/>
      <c r="E14" s="3833"/>
      <c r="F14" s="3833"/>
      <c r="G14" s="2666"/>
      <c r="H14" s="2667"/>
      <c r="I14" s="2647"/>
      <c r="J14" s="3834"/>
      <c r="K14" s="3834"/>
      <c r="L14" s="3834"/>
      <c r="M14" s="2829" t="str">
        <f>"= "&amp;FIXED((M13/D53),1)</f>
        <v>= 29.9</v>
      </c>
      <c r="N14" s="2743" t="s">
        <v>24</v>
      </c>
      <c r="O14" s="931"/>
      <c r="P14" s="2656" t="s">
        <v>890</v>
      </c>
      <c r="Q14" s="2820">
        <v>2.2000000000000002</v>
      </c>
      <c r="R14" s="2820">
        <v>2.6</v>
      </c>
      <c r="S14" s="2661">
        <f t="shared" si="0"/>
        <v>2.4000000000000004</v>
      </c>
      <c r="T14" s="2731"/>
    </row>
    <row r="15" spans="1:20" ht="15.75" customHeight="1">
      <c r="A15" s="2646"/>
      <c r="B15" s="2662"/>
      <c r="C15" s="2735">
        <v>5</v>
      </c>
      <c r="D15" s="3845" t="s">
        <v>1767</v>
      </c>
      <c r="E15" s="3846"/>
      <c r="F15" s="3847" t="s">
        <v>1753</v>
      </c>
      <c r="G15" s="3829"/>
      <c r="H15" s="2776">
        <v>4.41</v>
      </c>
      <c r="I15" s="2647"/>
      <c r="J15" s="3832" t="s">
        <v>1768</v>
      </c>
      <c r="K15" s="3832"/>
      <c r="L15" s="3832"/>
      <c r="M15" s="2830">
        <f>(M9-((3.0378-(0.050062*(((M10+40)*9/5)-40))+(0.00026555*(((M10+40)*9/5)-40)^2))*M11/M12))*3.95*M12</f>
        <v>99.136936312000046</v>
      </c>
      <c r="N15" s="2744" t="s">
        <v>141</v>
      </c>
      <c r="O15" s="931"/>
      <c r="P15" s="2656" t="s">
        <v>891</v>
      </c>
      <c r="Q15" s="2820">
        <v>1.9</v>
      </c>
      <c r="R15" s="2820">
        <v>2.5</v>
      </c>
      <c r="S15" s="2661">
        <f t="shared" si="0"/>
        <v>2.2000000000000002</v>
      </c>
      <c r="T15" s="2731"/>
    </row>
    <row r="16" spans="1:20" ht="15.75" customHeight="1">
      <c r="A16" s="2646"/>
      <c r="B16" s="2729"/>
      <c r="C16" s="2737" t="s">
        <v>887</v>
      </c>
      <c r="D16" s="2738" t="s">
        <v>897</v>
      </c>
      <c r="E16" s="3835" t="s">
        <v>1714</v>
      </c>
      <c r="F16" s="3835"/>
      <c r="G16" s="3836" t="s">
        <v>1766</v>
      </c>
      <c r="H16" s="3836"/>
      <c r="I16" s="2658"/>
      <c r="J16" s="3834"/>
      <c r="K16" s="3834"/>
      <c r="L16" s="3834"/>
      <c r="M16" s="2829" t="str">
        <f>"= "&amp;FIXED((M15/D53),1)</f>
        <v>= 31.5</v>
      </c>
      <c r="N16" s="2743" t="s">
        <v>24</v>
      </c>
      <c r="O16" s="931"/>
      <c r="P16" s="2656" t="s">
        <v>892</v>
      </c>
      <c r="Q16" s="2820">
        <v>1.9</v>
      </c>
      <c r="R16" s="2820">
        <v>2.4</v>
      </c>
      <c r="S16" s="2661">
        <f t="shared" si="0"/>
        <v>2.15</v>
      </c>
      <c r="T16" s="2731"/>
    </row>
    <row r="17" spans="1:20" ht="15.75" customHeight="1">
      <c r="A17" s="2646"/>
      <c r="B17" s="2729"/>
      <c r="C17" s="2663" t="s">
        <v>889</v>
      </c>
      <c r="D17" s="2664" t="s">
        <v>1712</v>
      </c>
      <c r="E17" s="3835"/>
      <c r="F17" s="3835"/>
      <c r="G17" s="3836"/>
      <c r="H17" s="3836"/>
      <c r="I17" s="2658"/>
      <c r="J17" s="931"/>
      <c r="K17" s="931"/>
      <c r="L17" s="931"/>
      <c r="M17" s="931"/>
      <c r="N17" s="931"/>
      <c r="O17" s="931"/>
      <c r="P17" s="2656" t="s">
        <v>893</v>
      </c>
      <c r="Q17" s="2820">
        <v>2.6</v>
      </c>
      <c r="R17" s="2820">
        <v>4.5</v>
      </c>
      <c r="S17" s="2661">
        <f t="shared" si="0"/>
        <v>3.55</v>
      </c>
      <c r="T17" s="2731"/>
    </row>
    <row r="18" spans="1:20" ht="15.75" customHeight="1">
      <c r="A18" s="2646"/>
      <c r="B18" s="2729"/>
      <c r="C18" s="2665" t="s">
        <v>172</v>
      </c>
      <c r="D18" s="2668" t="s">
        <v>321</v>
      </c>
      <c r="E18" s="2772" t="s">
        <v>1739</v>
      </c>
      <c r="F18" s="2772" t="str">
        <f>$H$15&amp;" UK gall"</f>
        <v>4.41 UK gall</v>
      </c>
      <c r="G18" s="2822" t="s">
        <v>1739</v>
      </c>
      <c r="H18" s="2822" t="str">
        <f>$H$15&amp;" UK gall"</f>
        <v>4.41 UK gall</v>
      </c>
      <c r="I18" s="2658"/>
      <c r="J18" s="931"/>
      <c r="K18" s="931"/>
      <c r="L18" s="931"/>
      <c r="M18" s="931"/>
      <c r="N18" s="931"/>
      <c r="O18" s="1746"/>
      <c r="P18" s="2656" t="s">
        <v>895</v>
      </c>
      <c r="Q18" s="2820">
        <v>3</v>
      </c>
      <c r="R18" s="2820">
        <v>4.5</v>
      </c>
      <c r="S18" s="2661">
        <f t="shared" si="0"/>
        <v>3.75</v>
      </c>
      <c r="T18" s="2731"/>
    </row>
    <row r="19" spans="1:20" ht="15.75" customHeight="1">
      <c r="A19" s="2646"/>
      <c r="B19" s="2671"/>
      <c r="C19" s="2740">
        <f>C11</f>
        <v>1.7</v>
      </c>
      <c r="D19" s="2741">
        <v>68</v>
      </c>
      <c r="E19" s="2831">
        <f>0.56825*(C19-VLOOKUP(D19,C90:D133,2))/(K72*28.35)</f>
        <v>6.2962929305168489E-2</v>
      </c>
      <c r="F19" s="2773">
        <f>8*$H$15*E19</f>
        <v>2.2213321458863442</v>
      </c>
      <c r="G19" s="2824">
        <f>0.56825*($C19-(VLOOKUP($D$19,C90:D133,2)))/(K79*28.35)</f>
        <v>6.6276767689651031E-2</v>
      </c>
      <c r="H19" s="2825">
        <f>8*$H$15*G19</f>
        <v>2.3382443640908885</v>
      </c>
      <c r="I19" s="2658"/>
      <c r="J19" s="931"/>
      <c r="K19" s="3839" t="s">
        <v>1679</v>
      </c>
      <c r="L19" s="3839"/>
      <c r="M19" s="3839"/>
      <c r="N19" s="2643"/>
      <c r="O19" s="1746"/>
      <c r="P19" s="2656" t="s">
        <v>896</v>
      </c>
      <c r="Q19" s="2820">
        <v>1.9</v>
      </c>
      <c r="R19" s="2820">
        <v>2.4</v>
      </c>
      <c r="S19" s="2661">
        <f t="shared" si="0"/>
        <v>2.15</v>
      </c>
      <c r="T19" s="2731"/>
    </row>
    <row r="20" spans="1:20" ht="15.75" customHeight="1">
      <c r="A20" s="2646"/>
      <c r="B20" s="2729"/>
      <c r="C20" s="3840" t="s">
        <v>901</v>
      </c>
      <c r="D20" s="3840"/>
      <c r="E20" s="2832">
        <f>28.35*E19</f>
        <v>1.7849990458015268</v>
      </c>
      <c r="F20" s="2833">
        <f>28.35*F19</f>
        <v>62.97476633587786</v>
      </c>
      <c r="G20" s="2834">
        <f>28.35*G19</f>
        <v>1.8789463640016069</v>
      </c>
      <c r="H20" s="2835">
        <f>28.35*H19</f>
        <v>66.289227721976687</v>
      </c>
      <c r="I20" s="2658"/>
      <c r="J20" s="931"/>
      <c r="K20" s="3841" t="s">
        <v>1680</v>
      </c>
      <c r="L20" s="3842"/>
      <c r="M20" s="3842"/>
      <c r="N20" s="2745">
        <v>3.15</v>
      </c>
      <c r="O20" s="2836">
        <v>100</v>
      </c>
      <c r="P20" s="2656" t="s">
        <v>1769</v>
      </c>
      <c r="Q20" s="2820">
        <v>2.1</v>
      </c>
      <c r="R20" s="2820">
        <v>2.6</v>
      </c>
      <c r="S20" s="2661">
        <f t="shared" si="0"/>
        <v>2.35</v>
      </c>
      <c r="T20" s="2731"/>
    </row>
    <row r="21" spans="1:20" ht="15.75" customHeight="1">
      <c r="A21" s="2646"/>
      <c r="B21" s="2729"/>
      <c r="C21" s="3843" t="s">
        <v>1713</v>
      </c>
      <c r="D21" s="3843"/>
      <c r="E21" s="2774">
        <f>E20/$D$53</f>
        <v>0.56666636374651647</v>
      </c>
      <c r="F21" s="2775">
        <f>F20/$D$53</f>
        <v>19.9919893129771</v>
      </c>
      <c r="G21" s="2826">
        <f>G20/$D$53</f>
        <v>0.59649090920685932</v>
      </c>
      <c r="H21" s="2837">
        <f>H20/$D$53</f>
        <v>21.044199276817995</v>
      </c>
      <c r="I21" s="2658"/>
      <c r="J21" s="931"/>
      <c r="K21" s="3844" t="s">
        <v>1681</v>
      </c>
      <c r="L21" s="3844"/>
      <c r="M21" s="3844"/>
      <c r="N21" s="2746" t="str">
        <f t="shared" ref="N21:N39" si="1">FIXED((($N$20*$O21)/100),2)&amp;"g"</f>
        <v>3.18g</v>
      </c>
      <c r="O21" s="2836">
        <v>101</v>
      </c>
      <c r="P21" s="2656" t="s">
        <v>898</v>
      </c>
      <c r="Q21" s="2820">
        <v>3.5</v>
      </c>
      <c r="R21" s="2820">
        <v>3.5</v>
      </c>
      <c r="S21" s="2661">
        <f t="shared" si="0"/>
        <v>3.5</v>
      </c>
      <c r="T21" s="2731"/>
    </row>
    <row r="22" spans="1:20" ht="15.75" customHeight="1">
      <c r="A22" s="2646"/>
      <c r="B22" s="2662"/>
      <c r="C22" s="2662"/>
      <c r="D22" s="2938" t="s">
        <v>1823</v>
      </c>
      <c r="E22" s="2662"/>
      <c r="F22" s="2662"/>
      <c r="G22" s="2662"/>
      <c r="H22" s="2662"/>
      <c r="I22" s="2658"/>
      <c r="J22" s="931"/>
      <c r="K22" s="3844" t="s">
        <v>1682</v>
      </c>
      <c r="L22" s="3844"/>
      <c r="M22" s="3844"/>
      <c r="N22" s="2746" t="str">
        <f t="shared" si="1"/>
        <v>3.94g</v>
      </c>
      <c r="O22" s="2836">
        <v>125</v>
      </c>
      <c r="P22" s="2656" t="s">
        <v>899</v>
      </c>
      <c r="Q22" s="2820">
        <v>1.9</v>
      </c>
      <c r="R22" s="2820">
        <v>2.5</v>
      </c>
      <c r="S22" s="2661">
        <f t="shared" si="0"/>
        <v>2.2000000000000002</v>
      </c>
      <c r="T22" s="2731"/>
    </row>
    <row r="23" spans="1:20" ht="15.75" customHeight="1">
      <c r="A23" s="2646"/>
      <c r="B23" s="3833" t="s">
        <v>904</v>
      </c>
      <c r="C23" s="3833"/>
      <c r="D23" s="3833"/>
      <c r="E23" s="3833"/>
      <c r="F23" s="3833"/>
      <c r="G23" s="2672"/>
      <c r="H23" s="2666"/>
      <c r="I23" s="2658"/>
      <c r="J23" s="931"/>
      <c r="K23" s="3844" t="s">
        <v>1683</v>
      </c>
      <c r="L23" s="3844"/>
      <c r="M23" s="3844"/>
      <c r="N23" s="2746" t="str">
        <f t="shared" si="1"/>
        <v>4.91g</v>
      </c>
      <c r="O23" s="2836">
        <v>156</v>
      </c>
      <c r="P23" s="2656" t="s">
        <v>900</v>
      </c>
      <c r="Q23" s="2820">
        <v>2.2000000000000002</v>
      </c>
      <c r="R23" s="2820">
        <v>2.7</v>
      </c>
      <c r="S23" s="2661">
        <f t="shared" si="0"/>
        <v>2.4500000000000002</v>
      </c>
      <c r="T23" s="2731"/>
    </row>
    <row r="24" spans="1:20" ht="15.75" customHeight="1">
      <c r="A24" s="2646"/>
      <c r="B24" s="2662"/>
      <c r="C24" s="2735">
        <v>6</v>
      </c>
      <c r="D24" s="3845" t="s">
        <v>1770</v>
      </c>
      <c r="E24" s="3846"/>
      <c r="F24" s="3847" t="s">
        <v>1753</v>
      </c>
      <c r="G24" s="3848"/>
      <c r="H24" s="2771">
        <v>5.4</v>
      </c>
      <c r="I24" s="2658"/>
      <c r="J24" s="931"/>
      <c r="K24" s="3844" t="s">
        <v>1684</v>
      </c>
      <c r="L24" s="3844"/>
      <c r="M24" s="3844"/>
      <c r="N24" s="2746" t="str">
        <f t="shared" si="1"/>
        <v>3.18g</v>
      </c>
      <c r="O24" s="2836">
        <v>101</v>
      </c>
      <c r="P24" s="2656" t="s">
        <v>902</v>
      </c>
      <c r="Q24" s="2820">
        <v>2.2999999999999998</v>
      </c>
      <c r="R24" s="2820">
        <v>2.5</v>
      </c>
      <c r="S24" s="2661">
        <f t="shared" si="0"/>
        <v>2.4</v>
      </c>
      <c r="T24" s="2731"/>
    </row>
    <row r="25" spans="1:20" ht="15.75" customHeight="1">
      <c r="A25" s="2646"/>
      <c r="B25" s="2662"/>
      <c r="C25" s="2737" t="s">
        <v>887</v>
      </c>
      <c r="D25" s="2738" t="s">
        <v>897</v>
      </c>
      <c r="E25" s="3849" t="s">
        <v>1714</v>
      </c>
      <c r="F25" s="3850"/>
      <c r="G25" s="3836" t="s">
        <v>1766</v>
      </c>
      <c r="H25" s="3836"/>
      <c r="I25" s="2658"/>
      <c r="J25" s="931"/>
      <c r="K25" s="3844" t="s">
        <v>1685</v>
      </c>
      <c r="L25" s="3844"/>
      <c r="M25" s="3844"/>
      <c r="N25" s="2746" t="str">
        <f t="shared" si="1"/>
        <v>3.18g</v>
      </c>
      <c r="O25" s="2836">
        <v>101</v>
      </c>
      <c r="P25" s="2656" t="s">
        <v>903</v>
      </c>
      <c r="Q25" s="2820">
        <v>2.4</v>
      </c>
      <c r="R25" s="2820">
        <v>2.8</v>
      </c>
      <c r="S25" s="2661">
        <f t="shared" si="0"/>
        <v>2.5999999999999996</v>
      </c>
      <c r="T25" s="2731"/>
    </row>
    <row r="26" spans="1:20" ht="15.75" customHeight="1">
      <c r="A26" s="2646"/>
      <c r="B26" s="2662"/>
      <c r="C26" s="2663" t="s">
        <v>889</v>
      </c>
      <c r="D26" s="2664" t="s">
        <v>1712</v>
      </c>
      <c r="E26" s="3851"/>
      <c r="F26" s="3852"/>
      <c r="G26" s="3836"/>
      <c r="H26" s="3836"/>
      <c r="I26" s="2658"/>
      <c r="J26" s="931"/>
      <c r="K26" s="3844" t="s">
        <v>1771</v>
      </c>
      <c r="L26" s="3844"/>
      <c r="M26" s="3844"/>
      <c r="N26" s="2746" t="str">
        <f t="shared" si="1"/>
        <v>3.31g</v>
      </c>
      <c r="O26" s="2836">
        <v>105</v>
      </c>
      <c r="P26" s="2656" t="s">
        <v>905</v>
      </c>
      <c r="Q26" s="2820">
        <v>2.6</v>
      </c>
      <c r="R26" s="2820">
        <v>2.7</v>
      </c>
      <c r="S26" s="2661">
        <f t="shared" si="0"/>
        <v>2.6500000000000004</v>
      </c>
      <c r="T26" s="2731"/>
    </row>
    <row r="27" spans="1:20" ht="15.75" customHeight="1">
      <c r="A27" s="2646"/>
      <c r="B27" s="2662"/>
      <c r="C27" s="2665" t="s">
        <v>172</v>
      </c>
      <c r="D27" s="2668" t="s">
        <v>321</v>
      </c>
      <c r="E27" s="2777" t="s">
        <v>1741</v>
      </c>
      <c r="F27" s="2778" t="str">
        <f>FIXED($H$24)&amp;" US gall"</f>
        <v>5.40 US gall</v>
      </c>
      <c r="G27" s="2838" t="s">
        <v>1741</v>
      </c>
      <c r="H27" s="2822" t="str">
        <f>FIXED($H$24)&amp;" US gall"</f>
        <v>5.40 US gall</v>
      </c>
      <c r="I27" s="2658"/>
      <c r="J27" s="931"/>
      <c r="K27" s="3844" t="s">
        <v>1686</v>
      </c>
      <c r="L27" s="3844"/>
      <c r="M27" s="3844"/>
      <c r="N27" s="2746" t="str">
        <f t="shared" si="1"/>
        <v>4.06g</v>
      </c>
      <c r="O27" s="2836">
        <v>129</v>
      </c>
      <c r="P27" s="2656" t="s">
        <v>906</v>
      </c>
      <c r="Q27" s="2820">
        <v>2.2999999999999998</v>
      </c>
      <c r="R27" s="2820">
        <v>2.6</v>
      </c>
      <c r="S27" s="2661">
        <f t="shared" si="0"/>
        <v>2.4500000000000002</v>
      </c>
      <c r="T27" s="2731"/>
    </row>
    <row r="28" spans="1:20" ht="15.75" customHeight="1">
      <c r="A28" s="2646"/>
      <c r="B28" s="2729"/>
      <c r="C28" s="2740">
        <f>C11</f>
        <v>1.7</v>
      </c>
      <c r="D28" s="2741">
        <f>D19</f>
        <v>68</v>
      </c>
      <c r="E28" s="2831">
        <f>0.47318*(C28-VLOOKUP(D28,C90:D133,2))/(K72*28.35)</f>
        <v>5.2429034559823354E-2</v>
      </c>
      <c r="F28" s="2773">
        <f>8*$H$24*E28</f>
        <v>2.264934292984369</v>
      </c>
      <c r="G28" s="2824">
        <f>0.47318*($C28-(VLOOKUP($D$28,C90:D133,2)))/(K79*28.35)</f>
        <v>5.5188457431393001E-2</v>
      </c>
      <c r="H28" s="2825">
        <f>8*$H$24*G28</f>
        <v>2.3841413610361779</v>
      </c>
      <c r="I28" s="2658"/>
      <c r="J28" s="931"/>
      <c r="K28" s="3844" t="s">
        <v>1687</v>
      </c>
      <c r="L28" s="3844"/>
      <c r="M28" s="3844"/>
      <c r="N28" s="2746" t="str">
        <f t="shared" si="1"/>
        <v>3.18g</v>
      </c>
      <c r="O28" s="2836">
        <v>101</v>
      </c>
      <c r="P28" s="2656" t="s">
        <v>907</v>
      </c>
      <c r="Q28" s="2820">
        <v>2.6</v>
      </c>
      <c r="R28" s="2820">
        <v>2.6</v>
      </c>
      <c r="S28" s="2661">
        <f t="shared" si="0"/>
        <v>2.6</v>
      </c>
      <c r="T28" s="2731"/>
    </row>
    <row r="29" spans="1:20" ht="15.75" customHeight="1">
      <c r="A29" s="2646"/>
      <c r="B29" s="2729"/>
      <c r="C29" s="3840" t="s">
        <v>901</v>
      </c>
      <c r="D29" s="3840"/>
      <c r="E29" s="2832">
        <f>28.35*E28</f>
        <v>1.4863631297709921</v>
      </c>
      <c r="F29" s="2833">
        <f>28.35*F28</f>
        <v>64.210887206106861</v>
      </c>
      <c r="G29" s="2834">
        <f>28.35*G28</f>
        <v>1.5645927681799916</v>
      </c>
      <c r="H29" s="2835">
        <f>28.35*H28</f>
        <v>67.590407585375644</v>
      </c>
      <c r="I29" s="2658"/>
      <c r="J29" s="931"/>
      <c r="K29" s="3844" t="s">
        <v>1737</v>
      </c>
      <c r="L29" s="3844"/>
      <c r="M29" s="3844"/>
      <c r="N29" s="2746" t="str">
        <f t="shared" si="1"/>
        <v>4.60g</v>
      </c>
      <c r="O29" s="2836">
        <v>146</v>
      </c>
      <c r="P29" s="2656" t="s">
        <v>908</v>
      </c>
      <c r="Q29" s="2820">
        <v>3.6</v>
      </c>
      <c r="R29" s="2820">
        <v>4.5</v>
      </c>
      <c r="S29" s="2661">
        <f t="shared" si="0"/>
        <v>4.05</v>
      </c>
      <c r="T29" s="2731"/>
    </row>
    <row r="30" spans="1:20" ht="15.75" customHeight="1">
      <c r="A30" s="2646"/>
      <c r="B30" s="2729"/>
      <c r="C30" s="3859" t="s">
        <v>1713</v>
      </c>
      <c r="D30" s="3859"/>
      <c r="E30" s="2774">
        <f>E29/$D$53</f>
        <v>0.47186131103841017</v>
      </c>
      <c r="F30" s="2775">
        <f>F29/$D$53</f>
        <v>20.384408636859323</v>
      </c>
      <c r="G30" s="2826">
        <f>G29/$D$53</f>
        <v>0.49669611688253701</v>
      </c>
      <c r="H30" s="2837">
        <f>H29/$D$53</f>
        <v>21.457272249325602</v>
      </c>
      <c r="I30" s="2658"/>
      <c r="J30" s="931"/>
      <c r="K30" s="3860" t="s">
        <v>1762</v>
      </c>
      <c r="L30" s="3860"/>
      <c r="M30" s="3860"/>
      <c r="N30" s="2746" t="str">
        <f t="shared" si="1"/>
        <v>3.97g</v>
      </c>
      <c r="O30" s="2836">
        <v>126</v>
      </c>
      <c r="P30" s="2656" t="s">
        <v>909</v>
      </c>
      <c r="Q30" s="2820">
        <v>2.2000000000000002</v>
      </c>
      <c r="R30" s="2820">
        <v>3.1</v>
      </c>
      <c r="S30" s="2661">
        <f t="shared" si="0"/>
        <v>2.6500000000000004</v>
      </c>
      <c r="T30" s="2731"/>
    </row>
    <row r="31" spans="1:20" ht="15.75" customHeight="1">
      <c r="A31" s="2646"/>
      <c r="B31" s="2731"/>
      <c r="C31" s="2731"/>
      <c r="D31" s="2731"/>
      <c r="E31" s="2731"/>
      <c r="F31" s="2731"/>
      <c r="G31" s="2731"/>
      <c r="H31" s="2731"/>
      <c r="I31" s="2658"/>
      <c r="J31" s="931"/>
      <c r="K31" s="3844" t="s">
        <v>1688</v>
      </c>
      <c r="L31" s="3844"/>
      <c r="M31" s="3844"/>
      <c r="N31" s="2746" t="str">
        <f t="shared" si="1"/>
        <v>3.94g</v>
      </c>
      <c r="O31" s="2836">
        <v>125</v>
      </c>
      <c r="P31" s="2693" t="s">
        <v>910</v>
      </c>
      <c r="Q31" s="2820">
        <v>2.4</v>
      </c>
      <c r="R31" s="2820">
        <v>2.4</v>
      </c>
      <c r="S31" s="2661">
        <f t="shared" si="0"/>
        <v>2.4</v>
      </c>
      <c r="T31" s="2731"/>
    </row>
    <row r="32" spans="1:20" ht="15.75" customHeight="1">
      <c r="A32" s="2731"/>
      <c r="B32" s="2731"/>
      <c r="C32" s="2731"/>
      <c r="D32" s="2731"/>
      <c r="E32" s="2731"/>
      <c r="F32" s="2731"/>
      <c r="G32" s="2731"/>
      <c r="H32" s="2731"/>
      <c r="I32" s="2658"/>
      <c r="J32" s="2938" t="s">
        <v>1823</v>
      </c>
      <c r="K32" s="3844" t="s">
        <v>1689</v>
      </c>
      <c r="L32" s="3844"/>
      <c r="M32" s="3844"/>
      <c r="N32" s="2746" t="str">
        <f t="shared" si="1"/>
        <v>3.81g</v>
      </c>
      <c r="O32" s="2836">
        <v>121</v>
      </c>
      <c r="P32" s="2656" t="s">
        <v>911</v>
      </c>
      <c r="Q32" s="2820">
        <v>0.8</v>
      </c>
      <c r="R32" s="2820">
        <v>1.3</v>
      </c>
      <c r="S32" s="2661">
        <f t="shared" si="0"/>
        <v>1.05</v>
      </c>
      <c r="T32" s="2731"/>
    </row>
    <row r="33" spans="1:20" ht="15.75" customHeight="1">
      <c r="A33" s="3853" t="s">
        <v>1772</v>
      </c>
      <c r="B33" s="3853"/>
      <c r="C33" s="3853"/>
      <c r="D33" s="2646"/>
      <c r="E33" s="2646"/>
      <c r="F33" s="2646"/>
      <c r="G33" s="2646"/>
      <c r="H33" s="2646"/>
      <c r="I33" s="2658"/>
      <c r="J33" s="931"/>
      <c r="K33" s="3854" t="s">
        <v>1738</v>
      </c>
      <c r="L33" s="3854"/>
      <c r="M33" s="3854"/>
      <c r="N33" s="2746" t="str">
        <f t="shared" si="1"/>
        <v>5.48g</v>
      </c>
      <c r="O33" s="2836">
        <v>174</v>
      </c>
      <c r="P33" s="2656" t="s">
        <v>912</v>
      </c>
      <c r="Q33" s="2820">
        <v>1.5</v>
      </c>
      <c r="R33" s="2820">
        <v>2.2999999999999998</v>
      </c>
      <c r="S33" s="2661">
        <f t="shared" si="0"/>
        <v>1.9</v>
      </c>
      <c r="T33" s="2731"/>
    </row>
    <row r="34" spans="1:20" ht="15.75" customHeight="1">
      <c r="A34" s="2806"/>
      <c r="B34" s="2839"/>
      <c r="C34" s="2690">
        <v>3.15</v>
      </c>
      <c r="D34" s="3855" t="str">
        <f>"g ̸ litre is equivalent to "&amp;1*FIXED((G34*C34),1)&amp;"g per"</f>
        <v>g ̸ litre is equivalent to 63.6g per</v>
      </c>
      <c r="E34" s="3856"/>
      <c r="F34" s="3829"/>
      <c r="G34" s="2728">
        <f>H7</f>
        <v>20.2</v>
      </c>
      <c r="H34" s="3857" t="s">
        <v>1773</v>
      </c>
      <c r="I34" s="3858"/>
      <c r="J34" s="931"/>
      <c r="K34" s="3844" t="s">
        <v>1690</v>
      </c>
      <c r="L34" s="3844"/>
      <c r="M34" s="3844"/>
      <c r="N34" s="2746" t="str">
        <f t="shared" si="1"/>
        <v>4.06g</v>
      </c>
      <c r="O34" s="2840">
        <v>129</v>
      </c>
      <c r="P34" s="2656" t="s">
        <v>913</v>
      </c>
      <c r="Q34" s="2820">
        <v>1.3</v>
      </c>
      <c r="R34" s="2820">
        <v>2</v>
      </c>
      <c r="S34" s="2661">
        <f t="shared" si="0"/>
        <v>1.65</v>
      </c>
      <c r="T34" s="2731"/>
    </row>
    <row r="35" spans="1:20" ht="15.75" customHeight="1">
      <c r="A35" s="2731"/>
      <c r="B35" s="2731"/>
      <c r="C35" s="2731"/>
      <c r="D35" s="2731"/>
      <c r="E35" s="2731"/>
      <c r="F35" s="2731"/>
      <c r="G35" s="2731"/>
      <c r="H35" s="2731"/>
      <c r="I35" s="2731"/>
      <c r="J35" s="931"/>
      <c r="K35" s="3844" t="s">
        <v>1691</v>
      </c>
      <c r="L35" s="3844"/>
      <c r="M35" s="3844"/>
      <c r="N35" s="2746" t="str">
        <f t="shared" si="1"/>
        <v>6.30g</v>
      </c>
      <c r="O35" s="2841">
        <v>200</v>
      </c>
      <c r="P35" s="2656" t="s">
        <v>915</v>
      </c>
      <c r="Q35" s="2820">
        <v>1.5</v>
      </c>
      <c r="R35" s="2820">
        <v>2.2999999999999998</v>
      </c>
      <c r="S35" s="2661">
        <f t="shared" si="0"/>
        <v>1.9</v>
      </c>
      <c r="T35" s="2731"/>
    </row>
    <row r="36" spans="1:20" ht="15.75" customHeight="1">
      <c r="A36" s="2731"/>
      <c r="B36" s="2731"/>
      <c r="C36" s="2731"/>
      <c r="D36" s="2731"/>
      <c r="E36" s="2731"/>
      <c r="F36" s="2731"/>
      <c r="G36" s="2731"/>
      <c r="H36" s="2731"/>
      <c r="I36" s="2731"/>
      <c r="J36" s="931"/>
      <c r="K36" s="3844" t="s">
        <v>1774</v>
      </c>
      <c r="L36" s="3844"/>
      <c r="M36" s="3844"/>
      <c r="N36" s="2746" t="str">
        <f t="shared" si="1"/>
        <v>9.45g</v>
      </c>
      <c r="O36" s="2841">
        <v>300</v>
      </c>
      <c r="P36" s="2656" t="s">
        <v>917</v>
      </c>
      <c r="Q36" s="2820">
        <v>1.5</v>
      </c>
      <c r="R36" s="2820">
        <v>2.2999999999999998</v>
      </c>
      <c r="S36" s="2661">
        <f t="shared" si="0"/>
        <v>1.9</v>
      </c>
      <c r="T36" s="2731"/>
    </row>
    <row r="37" spans="1:20" ht="15.75" customHeight="1">
      <c r="A37" s="2646"/>
      <c r="B37" s="3863" t="s">
        <v>914</v>
      </c>
      <c r="C37" s="3863"/>
      <c r="D37" s="3863"/>
      <c r="E37" s="2731"/>
      <c r="F37" s="3863" t="s">
        <v>180</v>
      </c>
      <c r="G37" s="3863"/>
      <c r="H37" s="3863"/>
      <c r="I37" s="2647"/>
      <c r="J37" s="931"/>
      <c r="K37" s="3867" t="s">
        <v>1692</v>
      </c>
      <c r="L37" s="3867"/>
      <c r="M37" s="3867"/>
      <c r="N37" s="2746" t="str">
        <f t="shared" si="1"/>
        <v>4.00g</v>
      </c>
      <c r="O37" s="2841">
        <v>127</v>
      </c>
      <c r="P37" s="2656" t="s">
        <v>918</v>
      </c>
      <c r="Q37" s="2820">
        <v>1.9</v>
      </c>
      <c r="R37" s="2820">
        <v>2.5</v>
      </c>
      <c r="S37" s="2661">
        <f t="shared" si="0"/>
        <v>2.2000000000000002</v>
      </c>
      <c r="T37" s="2731"/>
    </row>
    <row r="38" spans="1:20" ht="15.75" customHeight="1">
      <c r="A38" s="2730"/>
      <c r="B38" s="2674" t="s">
        <v>1775</v>
      </c>
      <c r="C38" s="2674" t="s">
        <v>176</v>
      </c>
      <c r="D38" s="2674" t="s">
        <v>1776</v>
      </c>
      <c r="E38" s="2731"/>
      <c r="F38" s="2747" t="s">
        <v>1751</v>
      </c>
      <c r="G38" s="2748" t="s">
        <v>181</v>
      </c>
      <c r="H38" s="2749" t="s">
        <v>1750</v>
      </c>
      <c r="I38" s="2675"/>
      <c r="J38" s="931"/>
      <c r="K38" s="3867" t="s">
        <v>1693</v>
      </c>
      <c r="L38" s="3867"/>
      <c r="M38" s="3867"/>
      <c r="N38" s="2746" t="str">
        <f t="shared" si="1"/>
        <v>4.57g</v>
      </c>
      <c r="O38" s="2841">
        <v>145</v>
      </c>
      <c r="P38" s="2656" t="s">
        <v>919</v>
      </c>
      <c r="Q38" s="2820">
        <v>2.2999999999999998</v>
      </c>
      <c r="R38" s="2820">
        <v>2.6</v>
      </c>
      <c r="S38" s="2661">
        <f t="shared" si="0"/>
        <v>2.4500000000000002</v>
      </c>
      <c r="T38" s="2731"/>
    </row>
    <row r="39" spans="1:20" ht="15.75" customHeight="1">
      <c r="A39" s="2657"/>
      <c r="B39" s="2661">
        <f>((C39+40)*5/9)-40</f>
        <v>-6.6666666666666643</v>
      </c>
      <c r="C39" s="2676">
        <v>20</v>
      </c>
      <c r="D39" s="2674">
        <f>((C39+40)*9/5)-40</f>
        <v>68</v>
      </c>
      <c r="E39" s="2731"/>
      <c r="F39" s="2677">
        <f>G39*0.219974</f>
        <v>1.0998700000000001</v>
      </c>
      <c r="G39" s="2678">
        <v>5</v>
      </c>
      <c r="H39" s="2677">
        <f>F39*6/5</f>
        <v>1.3198440000000002</v>
      </c>
      <c r="I39" s="2675"/>
      <c r="J39" s="931"/>
      <c r="K39" s="3861" t="s">
        <v>1694</v>
      </c>
      <c r="L39" s="3861"/>
      <c r="M39" s="3861"/>
      <c r="N39" s="2746" t="str">
        <f t="shared" si="1"/>
        <v>3.24g</v>
      </c>
      <c r="O39" s="2842">
        <v>103</v>
      </c>
      <c r="P39" s="2656" t="s">
        <v>921</v>
      </c>
      <c r="Q39" s="2820">
        <v>2.5</v>
      </c>
      <c r="R39" s="2820">
        <v>2.5</v>
      </c>
      <c r="S39" s="2661">
        <f t="shared" si="0"/>
        <v>2.5</v>
      </c>
      <c r="T39" s="2731"/>
    </row>
    <row r="40" spans="1:20" ht="15.75" customHeight="1">
      <c r="A40" s="2657"/>
      <c r="B40" s="972"/>
      <c r="C40" s="972"/>
      <c r="D40" s="972"/>
      <c r="E40" s="2731"/>
      <c r="F40" s="2730"/>
      <c r="G40" s="2730"/>
      <c r="H40" s="2730"/>
      <c r="I40" s="2675"/>
      <c r="J40" s="931"/>
      <c r="K40" s="3862" t="s">
        <v>1695</v>
      </c>
      <c r="L40" s="3862"/>
      <c r="M40" s="3862"/>
      <c r="N40" s="3862"/>
      <c r="O40" s="1746"/>
      <c r="P40" s="2656" t="s">
        <v>922</v>
      </c>
      <c r="Q40" s="2820">
        <v>2.2000000000000002</v>
      </c>
      <c r="R40" s="2820">
        <v>2.7</v>
      </c>
      <c r="S40" s="2661">
        <f t="shared" si="0"/>
        <v>2.4500000000000002</v>
      </c>
      <c r="T40" s="2731"/>
    </row>
    <row r="41" spans="1:20" ht="15.75" customHeight="1">
      <c r="A41" s="2808"/>
      <c r="B41" s="3863" t="s">
        <v>920</v>
      </c>
      <c r="C41" s="3863"/>
      <c r="D41" s="3863"/>
      <c r="E41" s="2679"/>
      <c r="F41" s="2747" t="s">
        <v>1751</v>
      </c>
      <c r="G41" s="2750" t="s">
        <v>928</v>
      </c>
      <c r="H41" s="2749" t="s">
        <v>1750</v>
      </c>
      <c r="I41" s="2675"/>
      <c r="J41" s="931"/>
      <c r="K41" s="3864" t="str">
        <f>"If the Calc's say "&amp;N20&amp;"g sugar/sucrose-(see cell N20 = "&amp;FIXED(N20/$D$53) &amp;" tsp), but if you want to use honey (cell K31), the equivalent amount is "&amp;N31&amp;" (cell N31)."</f>
        <v>If the Calc's say 3.15g sugar/sucrose-(see cell N20 = 1.00 tsp), but if you want to use honey (cell K31), the equivalent amount is 3.94g (cell N31).</v>
      </c>
      <c r="L41" s="3864"/>
      <c r="M41" s="3864"/>
      <c r="N41" s="3864"/>
      <c r="O41" s="1745"/>
      <c r="P41" s="2656" t="s">
        <v>923</v>
      </c>
      <c r="Q41" s="2820">
        <v>1.5</v>
      </c>
      <c r="R41" s="2820">
        <v>2.2999999999999998</v>
      </c>
      <c r="S41" s="2661">
        <f t="shared" si="0"/>
        <v>1.9</v>
      </c>
      <c r="T41" s="2731"/>
    </row>
    <row r="42" spans="1:20" ht="15.75" customHeight="1">
      <c r="A42" s="2657"/>
      <c r="B42" s="2674" t="s">
        <v>141</v>
      </c>
      <c r="C42" s="2674" t="s">
        <v>179</v>
      </c>
      <c r="D42" s="2680" t="s">
        <v>23</v>
      </c>
      <c r="E42" s="2679"/>
      <c r="F42" s="2684">
        <f>G42*5/6</f>
        <v>4.166666666666667</v>
      </c>
      <c r="G42" s="2685">
        <v>5</v>
      </c>
      <c r="H42" s="2686">
        <f>G42*6/5</f>
        <v>6</v>
      </c>
      <c r="I42" s="2675"/>
      <c r="J42" s="931"/>
      <c r="K42" s="3864"/>
      <c r="L42" s="3864"/>
      <c r="M42" s="3864"/>
      <c r="N42" s="3864"/>
      <c r="O42" s="931"/>
      <c r="P42" s="2656" t="s">
        <v>924</v>
      </c>
      <c r="Q42" s="2820">
        <v>1.5</v>
      </c>
      <c r="R42" s="2820">
        <v>2.2999999999999998</v>
      </c>
      <c r="S42" s="2661">
        <f t="shared" si="0"/>
        <v>1.9</v>
      </c>
      <c r="T42" s="2731"/>
    </row>
    <row r="43" spans="1:20" ht="15.75" customHeight="1">
      <c r="A43" s="2681"/>
      <c r="B43" s="2682">
        <f>C43*28.35</f>
        <v>113.4</v>
      </c>
      <c r="C43" s="2676">
        <v>4</v>
      </c>
      <c r="D43" s="2683">
        <f>C43/28.35</f>
        <v>0.14109347442680775</v>
      </c>
      <c r="E43" s="2679"/>
      <c r="F43" s="2679"/>
      <c r="G43" s="2679"/>
      <c r="H43" s="2679"/>
      <c r="I43" s="2658"/>
      <c r="J43" s="931"/>
      <c r="K43" s="3864"/>
      <c r="L43" s="3864"/>
      <c r="M43" s="3864"/>
      <c r="N43" s="3864"/>
      <c r="O43" s="931"/>
      <c r="P43" s="2656" t="s">
        <v>925</v>
      </c>
      <c r="Q43" s="2820">
        <v>1.6</v>
      </c>
      <c r="R43" s="2820">
        <v>2</v>
      </c>
      <c r="S43" s="2661">
        <f t="shared" si="0"/>
        <v>1.8</v>
      </c>
      <c r="T43" s="2731"/>
    </row>
    <row r="44" spans="1:20" ht="15.75" customHeight="1">
      <c r="A44" s="2657"/>
      <c r="B44" s="2659"/>
      <c r="C44" s="2659"/>
      <c r="D44" s="2659"/>
      <c r="E44" s="2679"/>
      <c r="F44" s="2679"/>
      <c r="G44" s="2679"/>
      <c r="H44" s="2679"/>
      <c r="I44" s="972"/>
      <c r="J44" s="931"/>
      <c r="K44" s="3864"/>
      <c r="L44" s="3864"/>
      <c r="M44" s="3864"/>
      <c r="N44" s="3864"/>
      <c r="O44" s="931"/>
      <c r="P44" s="2656" t="s">
        <v>1232</v>
      </c>
      <c r="Q44" s="2820">
        <v>2.4</v>
      </c>
      <c r="R44" s="2820">
        <v>2.7</v>
      </c>
      <c r="S44" s="2661">
        <f t="shared" si="0"/>
        <v>2.5499999999999998</v>
      </c>
      <c r="T44" s="2731"/>
    </row>
    <row r="45" spans="1:20" ht="15.75" customHeight="1">
      <c r="A45" s="2687"/>
      <c r="B45" s="2731"/>
      <c r="C45" s="2731"/>
      <c r="D45" s="2731"/>
      <c r="E45" s="2687"/>
      <c r="F45" s="2731"/>
      <c r="G45" s="2731"/>
      <c r="H45" s="2731"/>
      <c r="I45" s="2751"/>
      <c r="J45" s="931"/>
      <c r="K45" s="3865" t="s">
        <v>1696</v>
      </c>
      <c r="L45" s="3865"/>
      <c r="M45" s="3865"/>
      <c r="N45" s="3865"/>
      <c r="O45" s="931"/>
      <c r="P45" s="2688" t="s">
        <v>178</v>
      </c>
      <c r="Q45" s="2843">
        <v>2.4</v>
      </c>
      <c r="R45" s="2843">
        <v>2.7</v>
      </c>
      <c r="S45" s="2661">
        <f t="shared" si="0"/>
        <v>2.5499999999999998</v>
      </c>
      <c r="T45" s="2731"/>
    </row>
    <row r="46" spans="1:20" ht="15.75" customHeight="1">
      <c r="A46" s="3866" t="s">
        <v>1715</v>
      </c>
      <c r="B46" s="3866"/>
      <c r="C46" s="3866"/>
      <c r="D46" s="2647"/>
      <c r="E46" s="2731"/>
      <c r="F46" s="2780"/>
      <c r="G46" s="2780"/>
      <c r="H46" s="2780"/>
      <c r="I46" s="2780"/>
      <c r="J46" s="931"/>
      <c r="K46" s="3865"/>
      <c r="L46" s="3865"/>
      <c r="M46" s="3865"/>
      <c r="N46" s="3865"/>
      <c r="O46" s="931"/>
      <c r="P46" s="2844" t="s">
        <v>177</v>
      </c>
      <c r="Q46" s="2843">
        <v>2.2000000000000002</v>
      </c>
      <c r="R46" s="2843">
        <v>2.7</v>
      </c>
      <c r="S46" s="2661">
        <f t="shared" si="0"/>
        <v>2.4500000000000002</v>
      </c>
      <c r="T46" s="2731"/>
    </row>
    <row r="47" spans="1:20" ht="15.75" customHeight="1">
      <c r="A47" s="3868" t="str">
        <f>"(1 tsp = "&amp;D53&amp;"g )"</f>
        <v>(1 tsp = 3.15g )</v>
      </c>
      <c r="B47" s="3868"/>
      <c r="C47" s="2870">
        <v>4.7249999999999996</v>
      </c>
      <c r="D47" s="3869" t="s">
        <v>1716</v>
      </c>
      <c r="E47" s="3869"/>
      <c r="F47" s="3870" t="s">
        <v>1749</v>
      </c>
      <c r="G47" s="3870"/>
      <c r="H47" s="3870"/>
      <c r="I47" s="3870"/>
      <c r="J47" s="931"/>
      <c r="K47" s="3871" t="s">
        <v>1777</v>
      </c>
      <c r="L47" s="3872"/>
      <c r="M47" s="3872"/>
      <c r="N47" s="3872"/>
      <c r="O47" s="931"/>
      <c r="P47" s="2656" t="s">
        <v>1699</v>
      </c>
      <c r="Q47" s="2820">
        <v>2.2000000000000002</v>
      </c>
      <c r="R47" s="2820">
        <v>3</v>
      </c>
      <c r="S47" s="2661">
        <f t="shared" si="0"/>
        <v>2.6</v>
      </c>
      <c r="T47" s="2731"/>
    </row>
    <row r="48" spans="1:20" ht="15.75" customHeight="1">
      <c r="B48" s="3873" t="str">
        <f>"This is equivalent to "&amp;C47/D53&amp;"level 5ml tsp ̸ litre"</f>
        <v>This is equivalent to 1.5level 5ml tsp ̸ litre</v>
      </c>
      <c r="C48" s="3873"/>
      <c r="D48" s="3873"/>
      <c r="E48" s="3873"/>
      <c r="F48" s="3874" t="s">
        <v>1717</v>
      </c>
      <c r="G48" s="3874"/>
      <c r="H48" s="3874"/>
      <c r="I48" s="3874"/>
      <c r="J48" s="931"/>
      <c r="K48" s="3872"/>
      <c r="L48" s="3872"/>
      <c r="M48" s="3872"/>
      <c r="N48" s="3872"/>
      <c r="O48" s="931"/>
      <c r="P48" s="2656" t="s">
        <v>929</v>
      </c>
      <c r="Q48" s="2820">
        <v>2.2000000000000002</v>
      </c>
      <c r="R48" s="2820">
        <v>2.7</v>
      </c>
      <c r="S48" s="2661">
        <f t="shared" si="0"/>
        <v>2.4500000000000002</v>
      </c>
      <c r="T48" s="2731"/>
    </row>
    <row r="49" spans="1:20" ht="15.75" customHeight="1">
      <c r="A49" s="2689"/>
      <c r="B49" s="2804" t="s">
        <v>1719</v>
      </c>
      <c r="C49" s="2871">
        <v>500</v>
      </c>
      <c r="D49" s="3875" t="s">
        <v>1720</v>
      </c>
      <c r="E49" s="3875"/>
      <c r="F49" s="3876" t="s">
        <v>1718</v>
      </c>
      <c r="G49" s="3876"/>
      <c r="H49" s="3876"/>
      <c r="I49" s="3876"/>
      <c r="J49" s="2752"/>
      <c r="K49" s="3872"/>
      <c r="L49" s="3872"/>
      <c r="M49" s="3872"/>
      <c r="N49" s="3872"/>
      <c r="O49" s="931"/>
      <c r="P49" s="2656" t="s">
        <v>930</v>
      </c>
      <c r="Q49" s="2820">
        <v>2.6</v>
      </c>
      <c r="R49" s="2820">
        <v>2.7</v>
      </c>
      <c r="S49" s="2661">
        <f t="shared" si="0"/>
        <v>2.6500000000000004</v>
      </c>
      <c r="T49" s="2731"/>
    </row>
    <row r="50" spans="1:20" ht="15.75" customHeight="1">
      <c r="A50" s="2689"/>
      <c r="B50" s="3877" t="str">
        <f>"     use "&amp;FIXED((C47*C49/1000),3)&amp;"g or "&amp;FIXED((C47*C49/(1000*D53)),3)&amp;" level 5ml tsp."</f>
        <v xml:space="preserve">     use 2.363g or 0.750 level 5ml tsp.</v>
      </c>
      <c r="C50" s="3877"/>
      <c r="D50" s="3877"/>
      <c r="E50" s="3877"/>
      <c r="F50" s="3878" t="s">
        <v>1778</v>
      </c>
      <c r="G50" s="3878"/>
      <c r="H50" s="3878"/>
      <c r="I50" s="3878"/>
      <c r="J50" s="3878"/>
      <c r="K50" s="3872"/>
      <c r="L50" s="3872"/>
      <c r="M50" s="3872"/>
      <c r="N50" s="3872"/>
      <c r="O50" s="931"/>
      <c r="P50" s="2656" t="s">
        <v>931</v>
      </c>
      <c r="Q50" s="2820">
        <v>2.2999999999999998</v>
      </c>
      <c r="R50" s="2820">
        <v>2.7</v>
      </c>
      <c r="S50" s="2661">
        <f t="shared" si="0"/>
        <v>2.5</v>
      </c>
      <c r="T50" s="2731"/>
    </row>
    <row r="51" spans="1:20" ht="15.75" customHeight="1">
      <c r="A51" s="2731"/>
      <c r="B51" s="2731"/>
      <c r="C51" s="2731"/>
      <c r="D51" s="2731"/>
      <c r="E51" s="2731"/>
      <c r="F51" s="2731"/>
      <c r="G51" s="2731"/>
      <c r="H51" s="2731"/>
      <c r="I51" s="2731"/>
      <c r="J51" s="931"/>
      <c r="K51" s="3872"/>
      <c r="L51" s="3872"/>
      <c r="M51" s="3872"/>
      <c r="N51" s="3872"/>
      <c r="O51" s="931"/>
      <c r="P51" s="2656" t="s">
        <v>932</v>
      </c>
      <c r="Q51" s="2820">
        <v>2.2000000000000002</v>
      </c>
      <c r="R51" s="2820">
        <v>2.7</v>
      </c>
      <c r="S51" s="2661">
        <f t="shared" si="0"/>
        <v>2.4500000000000002</v>
      </c>
      <c r="T51" s="2731"/>
    </row>
    <row r="52" spans="1:20" ht="15.75" customHeight="1">
      <c r="A52" s="2687"/>
      <c r="B52" s="2731"/>
      <c r="C52" s="2731"/>
      <c r="D52" s="2731"/>
      <c r="E52" s="2687"/>
      <c r="F52" s="2731"/>
      <c r="G52" s="2731"/>
      <c r="H52" s="2731"/>
      <c r="I52" s="2753"/>
      <c r="J52" s="931"/>
      <c r="K52" s="2845"/>
      <c r="L52" s="2845"/>
      <c r="M52" s="2845"/>
      <c r="N52" s="2845"/>
      <c r="O52" s="931"/>
      <c r="P52" s="2656" t="s">
        <v>933</v>
      </c>
      <c r="Q52" s="2820">
        <v>1.9</v>
      </c>
      <c r="R52" s="2820">
        <v>2.5</v>
      </c>
      <c r="S52" s="2661">
        <f t="shared" si="0"/>
        <v>2.2000000000000002</v>
      </c>
      <c r="T52" s="2731"/>
    </row>
    <row r="53" spans="1:20" ht="15.75" customHeight="1">
      <c r="A53" s="2687"/>
      <c r="B53" s="3890" t="s">
        <v>1779</v>
      </c>
      <c r="C53" s="3891"/>
      <c r="D53" s="2846">
        <v>3.15</v>
      </c>
      <c r="E53" s="2847" t="str">
        <f>"g = "&amp;FIXED((D53*0.035274),3)&amp;" oz"</f>
        <v>g = 0.111 oz</v>
      </c>
      <c r="F53" s="2731"/>
      <c r="G53" s="2731"/>
      <c r="H53" s="2731"/>
      <c r="I53" s="2753"/>
      <c r="J53" s="931"/>
      <c r="K53" s="3892" t="s">
        <v>24</v>
      </c>
      <c r="L53" s="3893" t="s">
        <v>1780</v>
      </c>
      <c r="M53" s="3893"/>
      <c r="N53" s="2848"/>
      <c r="O53" s="2849"/>
      <c r="P53" s="2656" t="s">
        <v>934</v>
      </c>
      <c r="Q53" s="2820">
        <v>1.7</v>
      </c>
      <c r="R53" s="2820">
        <v>2.5</v>
      </c>
      <c r="S53" s="2661">
        <f t="shared" si="0"/>
        <v>2.1</v>
      </c>
      <c r="T53" s="2731"/>
    </row>
    <row r="54" spans="1:20" ht="15.75" customHeight="1">
      <c r="A54" s="2687"/>
      <c r="B54" s="2731"/>
      <c r="C54" s="2731"/>
      <c r="D54" s="2731"/>
      <c r="E54" s="2687"/>
      <c r="F54" s="2731"/>
      <c r="G54" s="2731"/>
      <c r="H54" s="2731"/>
      <c r="I54" s="2753"/>
      <c r="J54" s="931"/>
      <c r="K54" s="3892"/>
      <c r="L54" s="2669" t="s">
        <v>133</v>
      </c>
      <c r="M54" s="2669" t="s">
        <v>656</v>
      </c>
      <c r="N54" s="2848"/>
      <c r="O54" s="1745"/>
      <c r="P54" s="2656" t="s">
        <v>935</v>
      </c>
      <c r="Q54" s="2820">
        <v>2.2000000000000002</v>
      </c>
      <c r="R54" s="2820">
        <v>2.6</v>
      </c>
      <c r="S54" s="2661">
        <f t="shared" si="0"/>
        <v>2.4000000000000004</v>
      </c>
      <c r="T54" s="2731"/>
    </row>
    <row r="55" spans="1:20" ht="15.75" customHeight="1">
      <c r="A55" s="2731"/>
      <c r="B55" s="2731"/>
      <c r="C55" s="2731"/>
      <c r="D55" s="2731"/>
      <c r="E55" s="2731"/>
      <c r="F55" s="2731"/>
      <c r="G55" s="2731"/>
      <c r="H55" s="2731"/>
      <c r="I55" s="2731"/>
      <c r="J55" s="931"/>
      <c r="K55" s="2669">
        <f>0.25</f>
        <v>0.25</v>
      </c>
      <c r="L55" s="2670">
        <f t="shared" ref="L55:L68" si="2">K55*D$53</f>
        <v>0.78749999999999998</v>
      </c>
      <c r="M55" s="2754">
        <f t="shared" ref="M55:M65" si="3">L55/28.3495</f>
        <v>2.7778267694315597E-2</v>
      </c>
      <c r="N55" s="2848"/>
      <c r="O55" s="1745"/>
      <c r="P55" s="2656" t="s">
        <v>936</v>
      </c>
      <c r="Q55" s="2820">
        <v>0.8</v>
      </c>
      <c r="R55" s="2820">
        <v>1.3</v>
      </c>
      <c r="S55" s="2661">
        <f t="shared" si="0"/>
        <v>1.05</v>
      </c>
      <c r="T55" s="2731"/>
    </row>
    <row r="56" spans="1:20" ht="15.75" customHeight="1">
      <c r="A56" s="3866" t="s">
        <v>1781</v>
      </c>
      <c r="B56" s="3866"/>
      <c r="C56" s="3866"/>
      <c r="D56" s="3866"/>
      <c r="E56" s="2731"/>
      <c r="F56" s="2731"/>
      <c r="G56" s="2731"/>
      <c r="H56" s="2731"/>
      <c r="I56" s="2731"/>
      <c r="J56" s="931"/>
      <c r="K56" s="2669">
        <f t="shared" ref="K56:K67" si="4">K55+0.25</f>
        <v>0.5</v>
      </c>
      <c r="L56" s="2670">
        <f t="shared" si="2"/>
        <v>1.575</v>
      </c>
      <c r="M56" s="2754">
        <f t="shared" si="3"/>
        <v>5.5556535388631194E-2</v>
      </c>
      <c r="N56" s="2848"/>
      <c r="O56" s="1745"/>
      <c r="P56" s="2656" t="s">
        <v>1700</v>
      </c>
      <c r="Q56" s="2820">
        <v>1.6</v>
      </c>
      <c r="R56" s="2820">
        <v>2</v>
      </c>
      <c r="S56" s="2661">
        <f t="shared" si="0"/>
        <v>1.8</v>
      </c>
      <c r="T56" s="2731"/>
    </row>
    <row r="57" spans="1:20" ht="15.75" customHeight="1">
      <c r="A57" s="2731"/>
      <c r="B57" s="2807" t="s">
        <v>1721</v>
      </c>
      <c r="C57" s="3894" t="s">
        <v>1722</v>
      </c>
      <c r="D57" s="3895"/>
      <c r="E57" s="2691" t="s">
        <v>1782</v>
      </c>
      <c r="F57" s="2731"/>
      <c r="G57" s="2731"/>
      <c r="H57" s="2731"/>
      <c r="I57" s="2753"/>
      <c r="J57" s="931"/>
      <c r="K57" s="2669">
        <f t="shared" si="4"/>
        <v>0.75</v>
      </c>
      <c r="L57" s="2670">
        <f t="shared" si="2"/>
        <v>2.3624999999999998</v>
      </c>
      <c r="M57" s="2754">
        <f t="shared" si="3"/>
        <v>8.3334803082946787E-2</v>
      </c>
      <c r="N57" s="2848"/>
      <c r="O57" s="1745"/>
      <c r="P57" s="2656" t="s">
        <v>1701</v>
      </c>
      <c r="Q57" s="2820">
        <v>2.2999999999999998</v>
      </c>
      <c r="R57" s="2820">
        <v>2.4</v>
      </c>
      <c r="S57" s="2661">
        <f t="shared" si="0"/>
        <v>2.3499999999999996</v>
      </c>
      <c r="T57" s="2731"/>
    </row>
    <row r="58" spans="1:20" ht="15.75" customHeight="1">
      <c r="A58" s="2731"/>
      <c r="B58" s="2692">
        <f>C58*0.2489/0.262</f>
        <v>2.9925000000000002</v>
      </c>
      <c r="C58" s="3896">
        <v>3.15</v>
      </c>
      <c r="D58" s="3897"/>
      <c r="E58" s="2755">
        <f>C58*K72/K79</f>
        <v>3.3157894736842106</v>
      </c>
      <c r="F58" s="2731"/>
      <c r="G58" s="3898"/>
      <c r="H58" s="3898"/>
      <c r="I58" s="2731"/>
      <c r="J58" s="931"/>
      <c r="K58" s="2669">
        <f t="shared" si="4"/>
        <v>1</v>
      </c>
      <c r="L58" s="2670">
        <f t="shared" si="2"/>
        <v>3.15</v>
      </c>
      <c r="M58" s="2754">
        <f t="shared" si="3"/>
        <v>0.11111307077726239</v>
      </c>
      <c r="N58" s="2848"/>
      <c r="O58" s="931"/>
      <c r="P58" s="2656" t="s">
        <v>1702</v>
      </c>
      <c r="Q58" s="2820">
        <v>2</v>
      </c>
      <c r="R58" s="2820">
        <v>2.6</v>
      </c>
      <c r="S58" s="2661">
        <f t="shared" si="0"/>
        <v>2.2999999999999998</v>
      </c>
      <c r="T58" s="2731"/>
    </row>
    <row r="59" spans="1:20" ht="15.75" customHeight="1">
      <c r="A59" s="2731"/>
      <c r="B59" s="2731"/>
      <c r="C59" s="2731"/>
      <c r="D59" s="2731"/>
      <c r="E59" s="2731"/>
      <c r="F59" s="2731"/>
      <c r="G59" s="2731"/>
      <c r="H59" s="2731"/>
      <c r="I59" s="2731"/>
      <c r="J59" s="931"/>
      <c r="K59" s="2669">
        <f t="shared" si="4"/>
        <v>1.25</v>
      </c>
      <c r="L59" s="2670">
        <f t="shared" si="2"/>
        <v>3.9375</v>
      </c>
      <c r="M59" s="2754">
        <f t="shared" si="3"/>
        <v>0.13889133847157797</v>
      </c>
      <c r="N59" s="2848"/>
      <c r="O59" s="931"/>
      <c r="P59" s="2656" t="s">
        <v>937</v>
      </c>
      <c r="Q59" s="2820">
        <v>1.5</v>
      </c>
      <c r="R59" s="2820">
        <v>2.2999999999999998</v>
      </c>
      <c r="S59" s="2661">
        <f t="shared" si="0"/>
        <v>1.9</v>
      </c>
      <c r="T59" s="2731"/>
    </row>
    <row r="60" spans="1:20" ht="15.75" customHeight="1">
      <c r="A60" s="2731"/>
      <c r="B60" s="2731"/>
      <c r="C60" s="2731"/>
      <c r="D60" s="2731"/>
      <c r="E60" s="2731"/>
      <c r="F60" s="2731"/>
      <c r="G60" s="2731"/>
      <c r="H60" s="2731"/>
      <c r="I60" s="2731"/>
      <c r="J60" s="931"/>
      <c r="K60" s="2669">
        <f t="shared" si="4"/>
        <v>1.5</v>
      </c>
      <c r="L60" s="2670">
        <f t="shared" si="2"/>
        <v>4.7249999999999996</v>
      </c>
      <c r="M60" s="2754">
        <f t="shared" si="3"/>
        <v>0.16666960616589357</v>
      </c>
      <c r="N60" s="2848"/>
      <c r="O60" s="931"/>
      <c r="P60" s="2656" t="s">
        <v>940</v>
      </c>
      <c r="Q60" s="2820">
        <v>2.4</v>
      </c>
      <c r="R60" s="2820">
        <v>2.6</v>
      </c>
      <c r="S60" s="2661">
        <f t="shared" si="0"/>
        <v>2.5</v>
      </c>
      <c r="T60" s="2731"/>
    </row>
    <row r="61" spans="1:20" ht="15.75" customHeight="1">
      <c r="A61" s="3879" t="s">
        <v>1783</v>
      </c>
      <c r="B61" s="3879"/>
      <c r="C61" s="3879"/>
      <c r="D61" s="3879"/>
      <c r="E61" s="3879"/>
      <c r="F61" s="3879"/>
      <c r="G61" s="2850"/>
      <c r="H61" s="2850"/>
      <c r="I61" s="2850"/>
      <c r="J61" s="931"/>
      <c r="K61" s="2669">
        <f t="shared" si="4"/>
        <v>1.75</v>
      </c>
      <c r="L61" s="2670">
        <f t="shared" si="2"/>
        <v>5.5125000000000002</v>
      </c>
      <c r="M61" s="2754">
        <f t="shared" si="3"/>
        <v>0.19444787386020917</v>
      </c>
      <c r="N61" s="2848"/>
      <c r="O61" s="931"/>
      <c r="P61" s="2656" t="s">
        <v>941</v>
      </c>
      <c r="Q61" s="2820">
        <v>3.6</v>
      </c>
      <c r="R61" s="2820">
        <v>4.5</v>
      </c>
      <c r="S61" s="2661">
        <f t="shared" si="0"/>
        <v>4.05</v>
      </c>
      <c r="T61" s="2731"/>
    </row>
    <row r="62" spans="1:20" ht="15.75" customHeight="1">
      <c r="A62" s="2731"/>
      <c r="B62" s="2756" t="s">
        <v>1723</v>
      </c>
      <c r="C62" s="2756" t="s">
        <v>1724</v>
      </c>
      <c r="D62" s="2757" t="s">
        <v>1725</v>
      </c>
      <c r="E62" s="3880" t="s">
        <v>1784</v>
      </c>
      <c r="F62" s="3880"/>
      <c r="G62" s="3880"/>
      <c r="H62" s="2851" t="s">
        <v>1726</v>
      </c>
      <c r="I62" s="2851" t="s">
        <v>1785</v>
      </c>
      <c r="J62" s="931"/>
      <c r="K62" s="2669">
        <f t="shared" si="4"/>
        <v>2</v>
      </c>
      <c r="L62" s="2670">
        <f t="shared" si="2"/>
        <v>6.3</v>
      </c>
      <c r="M62" s="2754">
        <f t="shared" si="3"/>
        <v>0.22222614155452478</v>
      </c>
      <c r="N62" s="2848"/>
      <c r="O62" s="931"/>
      <c r="P62" s="2693" t="s">
        <v>75</v>
      </c>
      <c r="Q62" s="2820"/>
      <c r="R62" s="2820"/>
      <c r="S62" s="2661">
        <f t="shared" si="0"/>
        <v>0</v>
      </c>
      <c r="T62" s="2731"/>
    </row>
    <row r="63" spans="1:20" ht="15.75" customHeight="1">
      <c r="A63" s="2687"/>
      <c r="B63" s="2852">
        <f>C11</f>
        <v>1.7</v>
      </c>
      <c r="C63" s="2758">
        <f>D11</f>
        <v>20</v>
      </c>
      <c r="D63" s="2759">
        <f>((C63+40)*(9/5))-40</f>
        <v>68</v>
      </c>
      <c r="E63" s="2755" t="str">
        <f>FIXED(SUM(-16.6999,PRODUCT(-0.0101059,$D63),PRODUCT(0.00116512,($D63^2)),PRODUCT(0.173354,$D63,B63),PRODUCT(4.24267,B63),PRODUCT(-0.0684226,(B63^2))),2)</f>
        <v>15.05</v>
      </c>
      <c r="F63" s="2853">
        <f>E63*0.068046</f>
        <v>1.0240923</v>
      </c>
      <c r="G63" s="2853">
        <f>E63*0.068948</f>
        <v>1.0376673999999999</v>
      </c>
      <c r="H63" s="2683" t="str">
        <f>FIXED(((B63-VLOOKUP(C63,B90:D133,3))/K72),3)</f>
        <v>3.141</v>
      </c>
      <c r="I63" s="2683" t="str">
        <f>FIXED(((B63-VLOOKUP(C63,B90:D133,3))/K79),3)</f>
        <v>3.307</v>
      </c>
      <c r="J63" s="2363"/>
      <c r="K63" s="2669">
        <f t="shared" si="4"/>
        <v>2.25</v>
      </c>
      <c r="L63" s="2670">
        <f t="shared" si="2"/>
        <v>7.0874999999999995</v>
      </c>
      <c r="M63" s="2754">
        <f t="shared" si="3"/>
        <v>0.25000440924884038</v>
      </c>
      <c r="N63" s="2848"/>
      <c r="O63" s="931"/>
      <c r="P63" s="2693" t="s">
        <v>75</v>
      </c>
      <c r="Q63" s="2820"/>
      <c r="R63" s="2820"/>
      <c r="S63" s="2661">
        <f t="shared" si="0"/>
        <v>0</v>
      </c>
      <c r="T63" s="2731"/>
    </row>
    <row r="64" spans="1:20" ht="15.75" customHeight="1">
      <c r="A64" s="2731"/>
      <c r="B64" s="2854" t="s">
        <v>1727</v>
      </c>
      <c r="C64" s="2854" t="s">
        <v>1728</v>
      </c>
      <c r="D64" s="2855"/>
      <c r="E64" s="2687"/>
      <c r="F64" s="2687"/>
      <c r="G64" s="2687"/>
      <c r="H64" s="2856" t="str">
        <f>"= "&amp;FIXED(H63/D53,3)&amp;" tsp"</f>
        <v>= 0.997 tsp</v>
      </c>
      <c r="I64" s="2856" t="str">
        <f>"= "&amp;FIXED(I63/D53,3)&amp;" tsp"</f>
        <v>= 1.050 tsp</v>
      </c>
      <c r="J64" s="931"/>
      <c r="K64" s="2669">
        <f t="shared" si="4"/>
        <v>2.5</v>
      </c>
      <c r="L64" s="2670">
        <f t="shared" si="2"/>
        <v>7.875</v>
      </c>
      <c r="M64" s="2754">
        <f t="shared" si="3"/>
        <v>0.27778267694315595</v>
      </c>
      <c r="N64" s="2848"/>
      <c r="O64" s="931"/>
      <c r="P64" s="2693" t="s">
        <v>75</v>
      </c>
      <c r="Q64" s="2820"/>
      <c r="R64" s="2820"/>
      <c r="S64" s="2661">
        <f t="shared" si="0"/>
        <v>0</v>
      </c>
      <c r="T64" s="2731"/>
    </row>
    <row r="65" spans="1:20" ht="15.75" customHeight="1">
      <c r="A65" s="2731"/>
      <c r="B65" s="2731"/>
      <c r="C65" s="2731"/>
      <c r="D65" s="2731"/>
      <c r="E65" s="2731"/>
      <c r="F65" s="2731"/>
      <c r="G65" s="2731"/>
      <c r="H65" s="2731"/>
      <c r="I65" s="2731"/>
      <c r="J65" s="931"/>
      <c r="K65" s="2669">
        <f t="shared" si="4"/>
        <v>2.75</v>
      </c>
      <c r="L65" s="2670">
        <f t="shared" si="2"/>
        <v>8.6624999999999996</v>
      </c>
      <c r="M65" s="2754">
        <f t="shared" si="3"/>
        <v>0.30556094463747158</v>
      </c>
      <c r="N65" s="2848"/>
      <c r="O65" s="2731"/>
      <c r="P65" s="2693" t="s">
        <v>75</v>
      </c>
      <c r="Q65" s="2820"/>
      <c r="R65" s="2820"/>
      <c r="S65" s="2661">
        <f t="shared" si="0"/>
        <v>0</v>
      </c>
      <c r="T65" s="2731"/>
    </row>
    <row r="66" spans="1:20" ht="15.75" customHeight="1">
      <c r="A66" s="2731"/>
      <c r="B66" s="2731"/>
      <c r="C66" s="2731"/>
      <c r="D66" s="2731"/>
      <c r="E66" s="2731"/>
      <c r="F66" s="2731"/>
      <c r="G66" s="2731"/>
      <c r="H66" s="2731"/>
      <c r="I66" s="2731"/>
      <c r="J66" s="931"/>
      <c r="K66" s="2669">
        <f t="shared" si="4"/>
        <v>3</v>
      </c>
      <c r="L66" s="2670">
        <f t="shared" si="2"/>
        <v>9.4499999999999993</v>
      </c>
      <c r="M66" s="2754">
        <f>L66/28.3495</f>
        <v>0.33333921233178715</v>
      </c>
      <c r="N66" s="2848"/>
      <c r="O66" s="2731"/>
      <c r="P66" s="2805" t="s">
        <v>1703</v>
      </c>
      <c r="Q66" s="2857">
        <v>1.7</v>
      </c>
      <c r="R66" s="2857">
        <v>2.5</v>
      </c>
      <c r="S66" s="2694">
        <f>(Q66+R66)/2</f>
        <v>2.1</v>
      </c>
      <c r="T66" s="2731"/>
    </row>
    <row r="67" spans="1:20" ht="15.75" customHeight="1">
      <c r="A67" s="3881" t="s">
        <v>939</v>
      </c>
      <c r="B67" s="3881"/>
      <c r="C67" s="2731"/>
      <c r="D67" s="2731"/>
      <c r="E67" s="2731"/>
      <c r="F67" s="2731"/>
      <c r="G67" s="2731"/>
      <c r="H67" s="2731"/>
      <c r="I67" s="2731"/>
      <c r="J67" s="2363"/>
      <c r="K67" s="2669">
        <f t="shared" si="4"/>
        <v>3.25</v>
      </c>
      <c r="L67" s="2670">
        <f>K67*D$53</f>
        <v>10.237499999999999</v>
      </c>
      <c r="M67" s="2754">
        <f>L67/28.3495</f>
        <v>0.36111748002610272</v>
      </c>
      <c r="N67" s="2848"/>
      <c r="O67" s="2731"/>
      <c r="P67" s="3882" t="str">
        <f>"(Where `"&amp;FIXED((Q66+R66)/2)&amp;"` would indicate "&amp;FIXED((Q66+R66)/2)&amp;" litres CO2 dissolved in 1 litre)"</f>
        <v>(Where `2.10` would indicate 2.10 litres CO2 dissolved in 1 litre)</v>
      </c>
      <c r="Q67" s="3883"/>
      <c r="R67" s="3883"/>
      <c r="S67" s="3884"/>
      <c r="T67" s="2731"/>
    </row>
    <row r="68" spans="1:20" ht="15.75" customHeight="1">
      <c r="A68" s="2858"/>
      <c r="B68" s="3885" t="s">
        <v>1786</v>
      </c>
      <c r="C68" s="3885"/>
      <c r="D68" s="3885"/>
      <c r="E68" s="3885"/>
      <c r="F68" s="3885"/>
      <c r="G68" s="3885"/>
      <c r="H68" s="3885"/>
      <c r="I68" s="3885"/>
      <c r="J68" s="2731"/>
      <c r="K68" s="2673">
        <v>5</v>
      </c>
      <c r="L68" s="2670">
        <f t="shared" si="2"/>
        <v>15.75</v>
      </c>
      <c r="M68" s="2754">
        <f>L68/28.3495</f>
        <v>0.5555653538863119</v>
      </c>
      <c r="N68" s="2859"/>
      <c r="O68" s="2731"/>
      <c r="P68" s="3886" t="s">
        <v>1704</v>
      </c>
      <c r="Q68" s="3887"/>
      <c r="R68" s="3888"/>
      <c r="S68" s="2695" t="s">
        <v>1705</v>
      </c>
      <c r="T68" s="2731"/>
    </row>
    <row r="69" spans="1:20" ht="16.5" customHeight="1">
      <c r="A69" s="2731"/>
      <c r="B69" s="3885"/>
      <c r="C69" s="3885"/>
      <c r="D69" s="3885"/>
      <c r="E69" s="3885"/>
      <c r="F69" s="3885"/>
      <c r="G69" s="3885"/>
      <c r="H69" s="3885"/>
      <c r="I69" s="3885"/>
      <c r="J69" s="931"/>
      <c r="K69" s="931"/>
      <c r="L69" s="931"/>
      <c r="M69" s="2731"/>
      <c r="N69" s="3889" t="s">
        <v>1787</v>
      </c>
      <c r="O69" s="3889"/>
      <c r="P69" s="3889"/>
      <c r="Q69" s="2731"/>
      <c r="R69" s="2731"/>
      <c r="S69" s="2731"/>
      <c r="T69" s="2731"/>
    </row>
    <row r="70" spans="1:20" ht="15.75" customHeight="1">
      <c r="A70" s="2731"/>
      <c r="B70" s="3885"/>
      <c r="C70" s="3885"/>
      <c r="D70" s="3885"/>
      <c r="E70" s="3885"/>
      <c r="F70" s="3885"/>
      <c r="G70" s="3885"/>
      <c r="H70" s="3885"/>
      <c r="I70" s="3885"/>
      <c r="J70" s="931"/>
      <c r="K70" s="931"/>
      <c r="L70" s="931"/>
      <c r="M70" s="931"/>
      <c r="N70" s="3889"/>
      <c r="O70" s="3889"/>
      <c r="P70" s="3889"/>
      <c r="Q70" s="2731"/>
      <c r="R70" s="2731"/>
      <c r="S70" s="2731"/>
      <c r="T70" s="2731"/>
    </row>
    <row r="71" spans="1:20" ht="15.75" customHeight="1">
      <c r="A71" s="2731"/>
      <c r="B71" s="2731"/>
      <c r="C71" s="2731"/>
      <c r="D71" s="2731"/>
      <c r="E71" s="2731"/>
      <c r="F71" s="2731"/>
      <c r="G71" s="2731"/>
      <c r="H71" s="2731"/>
      <c r="I71" s="2731"/>
      <c r="J71" s="931"/>
      <c r="K71" s="931"/>
      <c r="L71" s="931"/>
      <c r="M71" s="931"/>
      <c r="N71" s="3811" t="s">
        <v>1788</v>
      </c>
      <c r="O71" s="3811"/>
      <c r="P71" s="3811"/>
      <c r="Q71" s="3811"/>
      <c r="R71" s="3811"/>
      <c r="S71" s="3811"/>
      <c r="T71" s="2731"/>
    </row>
    <row r="72" spans="1:20" ht="15.75" customHeight="1">
      <c r="A72" s="2751"/>
      <c r="B72" s="2760" t="s">
        <v>1789</v>
      </c>
      <c r="C72" s="2760"/>
      <c r="D72" s="2760"/>
      <c r="E72" s="2760"/>
      <c r="F72" s="2760"/>
      <c r="G72" s="2760"/>
      <c r="H72" s="2760"/>
      <c r="I72" s="3906" t="s">
        <v>1729</v>
      </c>
      <c r="J72" s="3906"/>
      <c r="K72" s="2696">
        <v>0.26200000000000001</v>
      </c>
      <c r="L72" s="2697" t="s">
        <v>1730</v>
      </c>
      <c r="M72" s="931"/>
      <c r="N72" s="3811"/>
      <c r="O72" s="3811"/>
      <c r="P72" s="3811"/>
      <c r="Q72" s="3811"/>
      <c r="R72" s="3811"/>
      <c r="S72" s="3811"/>
      <c r="T72" s="2731"/>
    </row>
    <row r="73" spans="1:20" ht="15.75" customHeight="1">
      <c r="A73" s="2751"/>
      <c r="B73" s="3907" t="s">
        <v>1790</v>
      </c>
      <c r="C73" s="3907"/>
      <c r="D73" s="3907"/>
      <c r="E73" s="3907"/>
      <c r="F73" s="3907"/>
      <c r="G73" s="3907"/>
      <c r="H73" s="3907"/>
      <c r="I73" s="3907"/>
      <c r="J73" s="2698" t="s">
        <v>1731</v>
      </c>
      <c r="K73" s="2699">
        <f>89.6/342</f>
        <v>0.26198830409356721</v>
      </c>
      <c r="L73" s="931"/>
      <c r="M73" s="931"/>
      <c r="N73" s="3811"/>
      <c r="O73" s="3811"/>
      <c r="P73" s="3811"/>
      <c r="Q73" s="3811"/>
      <c r="R73" s="3811"/>
      <c r="S73" s="3811"/>
      <c r="T73" s="2731"/>
    </row>
    <row r="74" spans="1:20" ht="15.75" customHeight="1">
      <c r="A74" s="2751"/>
      <c r="B74" s="3907" t="s">
        <v>1791</v>
      </c>
      <c r="C74" s="3907"/>
      <c r="D74" s="3907"/>
      <c r="E74" s="3907"/>
      <c r="F74" s="3907"/>
      <c r="G74" s="3907"/>
      <c r="H74" s="3907"/>
      <c r="I74" s="920"/>
      <c r="J74" s="920"/>
      <c r="K74" s="920"/>
      <c r="L74" s="920"/>
      <c r="M74" s="931"/>
      <c r="N74" s="3811"/>
      <c r="O74" s="3811"/>
      <c r="P74" s="3811"/>
      <c r="Q74" s="3811"/>
      <c r="R74" s="3811"/>
      <c r="S74" s="3811"/>
      <c r="T74" s="2731"/>
    </row>
    <row r="75" spans="1:20" ht="15.75" customHeight="1">
      <c r="A75" s="2751"/>
      <c r="B75" s="2700"/>
      <c r="C75" s="2701"/>
      <c r="D75" s="2700"/>
      <c r="E75" s="2700"/>
      <c r="F75" s="2700"/>
      <c r="G75" s="3908" t="s">
        <v>1792</v>
      </c>
      <c r="H75" s="3908"/>
      <c r="I75" s="920"/>
      <c r="J75" s="931"/>
      <c r="K75" s="931"/>
      <c r="L75" s="931"/>
      <c r="M75" s="931"/>
      <c r="N75" s="3811"/>
      <c r="O75" s="3811"/>
      <c r="P75" s="3811"/>
      <c r="Q75" s="3811"/>
      <c r="R75" s="3811"/>
      <c r="S75" s="3811"/>
      <c r="T75" s="2731"/>
    </row>
    <row r="76" spans="1:20" ht="15.75" customHeight="1">
      <c r="A76" s="2751"/>
      <c r="B76" s="3908" t="s">
        <v>1793</v>
      </c>
      <c r="C76" s="3908"/>
      <c r="D76" s="3908"/>
      <c r="E76" s="3908"/>
      <c r="F76" s="3908"/>
      <c r="G76" s="3908"/>
      <c r="H76" s="3908"/>
      <c r="I76" s="2731"/>
      <c r="J76" s="931"/>
      <c r="K76" s="931"/>
      <c r="L76" s="931"/>
      <c r="M76" s="931"/>
      <c r="N76" s="3811"/>
      <c r="O76" s="3811"/>
      <c r="P76" s="3811"/>
      <c r="Q76" s="3811"/>
      <c r="R76" s="3811"/>
      <c r="S76" s="3811"/>
      <c r="T76" s="2731"/>
    </row>
    <row r="77" spans="1:20" ht="15.75" customHeight="1">
      <c r="A77" s="2751"/>
      <c r="B77" s="2753"/>
      <c r="C77" s="2753"/>
      <c r="D77" s="2753"/>
      <c r="E77" s="2753"/>
      <c r="F77" s="2753"/>
      <c r="G77" s="3908" t="s">
        <v>1794</v>
      </c>
      <c r="H77" s="3908"/>
      <c r="I77" s="2731"/>
      <c r="J77" s="920"/>
      <c r="K77" s="931"/>
      <c r="L77" s="2702"/>
      <c r="M77" s="931"/>
      <c r="N77" s="3811"/>
      <c r="O77" s="3811"/>
      <c r="P77" s="3811"/>
      <c r="Q77" s="3811"/>
      <c r="R77" s="3811"/>
      <c r="S77" s="3811"/>
      <c r="T77" s="2731"/>
    </row>
    <row r="78" spans="1:20" ht="15.75" customHeight="1">
      <c r="A78" s="3822" t="s">
        <v>944</v>
      </c>
      <c r="B78" s="3822"/>
      <c r="C78" s="3822"/>
      <c r="D78" s="3822"/>
      <c r="E78" s="3822"/>
      <c r="F78" s="2700"/>
      <c r="G78" s="2731"/>
      <c r="H78" s="2700"/>
      <c r="I78" s="2700"/>
      <c r="J78" s="2700"/>
      <c r="K78" s="2700"/>
      <c r="L78" s="2702"/>
      <c r="M78" s="931"/>
      <c r="N78" s="3811"/>
      <c r="O78" s="3811"/>
      <c r="P78" s="3811"/>
      <c r="Q78" s="3811"/>
      <c r="R78" s="3811"/>
      <c r="S78" s="3811"/>
      <c r="T78" s="2731"/>
    </row>
    <row r="79" spans="1:20" ht="15.75" customHeight="1">
      <c r="A79" s="2687"/>
      <c r="B79" s="3902" t="s">
        <v>1795</v>
      </c>
      <c r="C79" s="3902"/>
      <c r="D79" s="3902"/>
      <c r="E79" s="3902"/>
      <c r="F79" s="3902"/>
      <c r="G79" s="3902"/>
      <c r="H79" s="3902"/>
      <c r="I79" s="3909" t="s">
        <v>1732</v>
      </c>
      <c r="J79" s="3909"/>
      <c r="K79" s="2703">
        <v>0.24890000000000001</v>
      </c>
      <c r="L79" s="2704" t="s">
        <v>1730</v>
      </c>
      <c r="M79" s="931"/>
      <c r="N79" s="3811"/>
      <c r="O79" s="3811"/>
      <c r="P79" s="3811"/>
      <c r="Q79" s="3811"/>
      <c r="R79" s="3811"/>
      <c r="S79" s="3811"/>
      <c r="T79" s="2731"/>
    </row>
    <row r="80" spans="1:20" ht="15.75" customHeight="1">
      <c r="A80" s="2753"/>
      <c r="B80" s="3902" t="s">
        <v>1796</v>
      </c>
      <c r="C80" s="3902"/>
      <c r="D80" s="3902"/>
      <c r="E80" s="3902"/>
      <c r="F80" s="3902"/>
      <c r="G80" s="3902"/>
      <c r="H80" s="3902"/>
      <c r="I80" s="2700"/>
      <c r="J80" s="2698" t="s">
        <v>1731</v>
      </c>
      <c r="K80" s="2705">
        <f>44.8/180</f>
        <v>0.24888888888888888</v>
      </c>
      <c r="L80" s="2702"/>
      <c r="M80" s="931"/>
      <c r="N80" s="3811"/>
      <c r="O80" s="3811"/>
      <c r="P80" s="3811"/>
      <c r="Q80" s="3811"/>
      <c r="R80" s="3811"/>
      <c r="S80" s="3811"/>
      <c r="T80" s="2731"/>
    </row>
    <row r="81" spans="1:20" ht="15.75" customHeight="1">
      <c r="A81" s="2731"/>
      <c r="B81" s="3902" t="s">
        <v>1797</v>
      </c>
      <c r="C81" s="3902"/>
      <c r="D81" s="3902"/>
      <c r="E81" s="3902"/>
      <c r="F81" s="3902"/>
      <c r="G81" s="3902"/>
      <c r="H81" s="3902"/>
      <c r="I81" s="3898"/>
      <c r="J81" s="3898"/>
      <c r="K81" s="931"/>
      <c r="L81" s="931"/>
      <c r="M81" s="931"/>
      <c r="N81" s="3811"/>
      <c r="O81" s="3811"/>
      <c r="P81" s="3811"/>
      <c r="Q81" s="3811"/>
      <c r="R81" s="3811"/>
      <c r="S81" s="3811"/>
      <c r="T81" s="2731"/>
    </row>
    <row r="82" spans="1:20" ht="15.75" customHeight="1">
      <c r="A82" s="2731"/>
      <c r="B82" s="2731"/>
      <c r="C82" s="2731"/>
      <c r="D82" s="2731"/>
      <c r="E82" s="2731"/>
      <c r="F82" s="2731"/>
      <c r="G82" s="2731"/>
      <c r="H82" s="2731"/>
      <c r="I82" s="2731"/>
      <c r="J82" s="2731"/>
      <c r="K82" s="2731"/>
      <c r="L82" s="2731"/>
      <c r="M82" s="931"/>
      <c r="N82" s="3811"/>
      <c r="O82" s="3811"/>
      <c r="P82" s="3811"/>
      <c r="Q82" s="3811"/>
      <c r="R82" s="3811"/>
      <c r="S82" s="3811"/>
      <c r="T82" s="2731"/>
    </row>
    <row r="83" spans="1:20" ht="15.75" customHeight="1">
      <c r="A83" s="2731"/>
      <c r="B83" s="2731"/>
      <c r="C83" s="2731"/>
      <c r="D83" s="2731"/>
      <c r="E83" s="2731"/>
      <c r="F83" s="2731"/>
      <c r="G83" s="2731"/>
      <c r="H83" s="2731"/>
      <c r="I83" s="2731"/>
      <c r="J83" s="2731"/>
      <c r="K83" s="2731"/>
      <c r="L83" s="2731"/>
      <c r="M83" s="931"/>
      <c r="N83" s="3811"/>
      <c r="O83" s="3811"/>
      <c r="P83" s="3811"/>
      <c r="Q83" s="3811"/>
      <c r="R83" s="3811"/>
      <c r="S83" s="3811"/>
      <c r="T83" s="2731"/>
    </row>
    <row r="84" spans="1:20" ht="15.75" customHeight="1">
      <c r="A84" s="2731"/>
      <c r="B84" s="2731"/>
      <c r="C84" s="2731"/>
      <c r="D84" s="2731"/>
      <c r="E84" s="2731"/>
      <c r="F84" s="2731"/>
      <c r="G84" s="2731"/>
      <c r="H84" s="2731"/>
      <c r="I84" s="2731"/>
      <c r="J84" s="2731"/>
      <c r="K84" s="931"/>
      <c r="L84" s="931"/>
      <c r="M84" s="931"/>
      <c r="N84" s="3811"/>
      <c r="O84" s="3811"/>
      <c r="P84" s="3811"/>
      <c r="Q84" s="3811"/>
      <c r="R84" s="3811"/>
      <c r="S84" s="3811"/>
      <c r="T84" s="2731"/>
    </row>
    <row r="85" spans="1:20" ht="15.75" customHeight="1">
      <c r="A85" s="2731"/>
      <c r="B85" s="2731"/>
      <c r="C85" s="2731"/>
      <c r="D85" s="2731"/>
      <c r="E85" s="2731"/>
      <c r="F85" s="2731"/>
      <c r="G85" s="2731"/>
      <c r="H85" s="2731"/>
      <c r="I85" s="2731"/>
      <c r="J85" s="2731"/>
      <c r="K85" s="931"/>
      <c r="L85" s="931"/>
      <c r="M85" s="931"/>
      <c r="N85" s="3811"/>
      <c r="O85" s="3811"/>
      <c r="P85" s="3811"/>
      <c r="Q85" s="3811"/>
      <c r="R85" s="3811"/>
      <c r="S85" s="3811"/>
      <c r="T85" s="2731"/>
    </row>
    <row r="86" spans="1:20" ht="15.75" customHeight="1">
      <c r="A86" s="3903" t="s">
        <v>1733</v>
      </c>
      <c r="B86" s="3903"/>
      <c r="C86" s="3903"/>
      <c r="D86" s="3903"/>
      <c r="E86" s="3903"/>
      <c r="F86" s="3903"/>
      <c r="G86" s="3903"/>
      <c r="H86" s="2781"/>
      <c r="I86" s="2860"/>
      <c r="J86" s="2860"/>
      <c r="K86" s="2860"/>
      <c r="L86" s="2860"/>
      <c r="M86" s="2860"/>
      <c r="N86" s="2860"/>
      <c r="O86" s="2860"/>
      <c r="P86" s="3904" t="s">
        <v>652</v>
      </c>
      <c r="Q86" s="3904"/>
      <c r="R86" s="3905" t="s">
        <v>976</v>
      </c>
      <c r="S86" s="3905"/>
      <c r="T86" s="2731"/>
    </row>
    <row r="87" spans="1:20" ht="15.75" customHeight="1">
      <c r="A87" s="2731"/>
      <c r="B87" s="2731"/>
      <c r="C87" s="2731"/>
      <c r="D87" s="2731"/>
      <c r="E87" s="2731"/>
      <c r="F87" s="2731"/>
      <c r="G87" s="2731"/>
      <c r="H87" s="2731"/>
      <c r="I87" s="2860"/>
      <c r="J87" s="2860"/>
      <c r="K87" s="2860"/>
      <c r="L87" s="2860"/>
      <c r="M87" s="2860"/>
      <c r="N87" s="2860"/>
      <c r="O87" s="931"/>
      <c r="P87" s="2731"/>
      <c r="Q87" s="2731"/>
      <c r="R87" s="2731"/>
      <c r="S87" s="2731"/>
      <c r="T87" s="2731"/>
    </row>
    <row r="88" spans="1:20" ht="15.75" hidden="1" customHeight="1">
      <c r="A88" s="3899" t="s">
        <v>1734</v>
      </c>
      <c r="B88" s="3900" t="s">
        <v>173</v>
      </c>
      <c r="C88" s="3901"/>
      <c r="D88" s="2761" t="s">
        <v>592</v>
      </c>
      <c r="E88" s="2707"/>
      <c r="F88" s="2707"/>
      <c r="G88" s="2707"/>
      <c r="H88" s="2707"/>
      <c r="I88" s="2708"/>
      <c r="J88" s="2708"/>
      <c r="K88" s="2708"/>
      <c r="L88" s="2708"/>
      <c r="M88" s="2706"/>
      <c r="N88" s="2706"/>
      <c r="O88" s="2708"/>
      <c r="P88" s="2731"/>
      <c r="Q88" s="2731"/>
      <c r="R88" s="2731"/>
      <c r="S88" s="2731"/>
      <c r="T88" s="2731"/>
    </row>
    <row r="89" spans="1:20" ht="15.75" hidden="1" customHeight="1">
      <c r="A89" s="3899"/>
      <c r="B89" s="2762" t="s">
        <v>174</v>
      </c>
      <c r="C89" s="2762" t="s">
        <v>321</v>
      </c>
      <c r="D89" s="2763" t="s">
        <v>175</v>
      </c>
      <c r="E89" s="2707"/>
      <c r="F89" s="2707"/>
      <c r="G89" s="2707"/>
      <c r="H89" s="2707"/>
      <c r="I89" s="2708"/>
      <c r="J89" s="2708"/>
      <c r="K89" s="2708"/>
      <c r="L89" s="2708"/>
      <c r="M89" s="2706"/>
      <c r="N89" s="2706"/>
      <c r="O89" s="2708"/>
      <c r="P89" s="2731"/>
      <c r="Q89" s="2731"/>
      <c r="R89" s="2731"/>
      <c r="S89" s="2731"/>
      <c r="T89" s="2731"/>
    </row>
    <row r="90" spans="1:20" ht="15.75" hidden="1" customHeight="1">
      <c r="A90" s="3899"/>
      <c r="B90" s="2764">
        <v>0</v>
      </c>
      <c r="C90" s="2765">
        <f t="shared" ref="C90:C103" si="5">((B90+40)*9/5)-40</f>
        <v>32</v>
      </c>
      <c r="D90" s="2766">
        <v>1.7130000000000001</v>
      </c>
      <c r="E90" s="2707"/>
      <c r="F90" s="2707"/>
      <c r="G90" s="2707"/>
      <c r="H90" s="2707"/>
      <c r="I90" s="2708"/>
      <c r="J90" s="2708"/>
      <c r="K90" s="2708"/>
      <c r="L90" s="2708"/>
      <c r="M90" s="2706"/>
      <c r="N90" s="2706"/>
      <c r="O90" s="2708"/>
      <c r="P90" s="2731"/>
      <c r="Q90" s="2731"/>
      <c r="R90" s="2731"/>
      <c r="S90" s="2731"/>
      <c r="T90" s="2731"/>
    </row>
    <row r="91" spans="1:20" ht="15.75" hidden="1" customHeight="1">
      <c r="A91" s="3899"/>
      <c r="B91" s="2764">
        <v>1</v>
      </c>
      <c r="C91" s="2765">
        <f t="shared" si="5"/>
        <v>33.799999999999997</v>
      </c>
      <c r="D91" s="2766">
        <v>1.6459999999999999</v>
      </c>
      <c r="E91" s="2707"/>
      <c r="F91" s="2707"/>
      <c r="G91" s="2707"/>
      <c r="H91" s="2707"/>
      <c r="I91" s="2708"/>
      <c r="J91" s="2708"/>
      <c r="K91" s="2708"/>
      <c r="L91" s="2708"/>
      <c r="M91" s="2706"/>
      <c r="N91" s="2706"/>
      <c r="O91" s="2708"/>
      <c r="P91" s="2731"/>
      <c r="Q91" s="2731"/>
      <c r="R91" s="2731"/>
      <c r="S91" s="2731"/>
      <c r="T91" s="2731"/>
    </row>
    <row r="92" spans="1:20" ht="15.75" hidden="1" customHeight="1">
      <c r="A92" s="3899"/>
      <c r="B92" s="2764">
        <v>2</v>
      </c>
      <c r="C92" s="2765">
        <f t="shared" si="5"/>
        <v>35.599999999999994</v>
      </c>
      <c r="D92" s="2767">
        <v>1.5840000000000001</v>
      </c>
      <c r="E92" s="2707"/>
      <c r="F92" s="2707"/>
      <c r="G92" s="2707"/>
      <c r="H92" s="2707"/>
      <c r="I92" s="2709"/>
      <c r="J92" s="2710"/>
      <c r="K92" s="2708"/>
      <c r="L92" s="2708"/>
      <c r="M92" s="2706"/>
      <c r="N92" s="2706"/>
      <c r="O92" s="2708"/>
      <c r="P92" s="2731"/>
      <c r="Q92" s="2731"/>
      <c r="R92" s="2731"/>
      <c r="S92" s="2731"/>
      <c r="T92" s="2731"/>
    </row>
    <row r="93" spans="1:20" ht="15.75" hidden="1" customHeight="1">
      <c r="A93" s="3899"/>
      <c r="B93" s="2764">
        <v>3</v>
      </c>
      <c r="C93" s="2765">
        <f t="shared" si="5"/>
        <v>37.400000000000006</v>
      </c>
      <c r="D93" s="2767">
        <v>1.53</v>
      </c>
      <c r="E93" s="2707"/>
      <c r="F93" s="2707"/>
      <c r="G93" s="2707"/>
      <c r="H93" s="2707"/>
      <c r="I93" s="2709"/>
      <c r="J93" s="2710"/>
      <c r="K93" s="2708"/>
      <c r="L93" s="2708"/>
      <c r="M93" s="2706"/>
      <c r="N93" s="2706"/>
      <c r="O93" s="2708"/>
      <c r="P93" s="2731"/>
      <c r="Q93" s="2731"/>
      <c r="R93" s="2731"/>
      <c r="S93" s="2731"/>
      <c r="T93" s="2731"/>
    </row>
    <row r="94" spans="1:20" ht="15.75" hidden="1" customHeight="1">
      <c r="A94" s="3899"/>
      <c r="B94" s="2764">
        <v>4</v>
      </c>
      <c r="C94" s="2765">
        <f t="shared" si="5"/>
        <v>39.200000000000003</v>
      </c>
      <c r="D94" s="2767">
        <v>1.4730000000000001</v>
      </c>
      <c r="E94" s="2707"/>
      <c r="F94" s="2707"/>
      <c r="G94" s="2707"/>
      <c r="H94" s="2707"/>
      <c r="I94" s="2709"/>
      <c r="J94" s="2710"/>
      <c r="K94" s="2708"/>
      <c r="L94" s="2708"/>
      <c r="M94" s="2706"/>
      <c r="N94" s="2706"/>
      <c r="O94" s="2708"/>
      <c r="P94" s="2731"/>
      <c r="Q94" s="2731"/>
      <c r="R94" s="2731"/>
      <c r="S94" s="2731"/>
      <c r="T94" s="2731"/>
    </row>
    <row r="95" spans="1:20" ht="15.75" hidden="1" customHeight="1">
      <c r="A95" s="3899"/>
      <c r="B95" s="2764">
        <v>5</v>
      </c>
      <c r="C95" s="2765">
        <f t="shared" si="5"/>
        <v>41</v>
      </c>
      <c r="D95" s="2767">
        <v>1.4239999999999999</v>
      </c>
      <c r="E95" s="2707"/>
      <c r="F95" s="2707"/>
      <c r="G95" s="2707"/>
      <c r="H95" s="2707"/>
      <c r="I95" s="2709"/>
      <c r="J95" s="2710"/>
      <c r="K95" s="2708"/>
      <c r="L95" s="2708"/>
      <c r="M95" s="2706"/>
      <c r="N95" s="2706"/>
      <c r="O95" s="2708"/>
      <c r="P95" s="2731"/>
      <c r="Q95" s="2731"/>
      <c r="R95" s="2731"/>
      <c r="S95" s="2731"/>
      <c r="T95" s="2731"/>
    </row>
    <row r="96" spans="1:20" ht="15.75" hidden="1" customHeight="1">
      <c r="A96" s="3899"/>
      <c r="B96" s="2764">
        <v>6</v>
      </c>
      <c r="C96" s="2765">
        <f t="shared" si="5"/>
        <v>42.8</v>
      </c>
      <c r="D96" s="2767">
        <v>1.377</v>
      </c>
      <c r="E96" s="2707"/>
      <c r="F96" s="2707"/>
      <c r="G96" s="2707"/>
      <c r="H96" s="2707"/>
      <c r="I96" s="2709"/>
      <c r="J96" s="2710"/>
      <c r="K96" s="2708"/>
      <c r="L96" s="2708"/>
      <c r="M96" s="2706"/>
      <c r="N96" s="2706"/>
      <c r="O96" s="2708"/>
      <c r="P96" s="2731"/>
      <c r="Q96" s="2731"/>
      <c r="R96" s="2731"/>
      <c r="S96" s="2731"/>
      <c r="T96" s="2731"/>
    </row>
    <row r="97" spans="1:20" ht="15.75" hidden="1" customHeight="1">
      <c r="A97" s="3899"/>
      <c r="B97" s="2764">
        <v>7</v>
      </c>
      <c r="C97" s="2765">
        <f t="shared" si="5"/>
        <v>44.599999999999994</v>
      </c>
      <c r="D97" s="2767">
        <v>1.331</v>
      </c>
      <c r="E97" s="2707"/>
      <c r="F97" s="2707"/>
      <c r="G97" s="2707"/>
      <c r="H97" s="2707"/>
      <c r="I97" s="2709"/>
      <c r="J97" s="2710"/>
      <c r="K97" s="2708"/>
      <c r="L97" s="2708"/>
      <c r="M97" s="2706"/>
      <c r="N97" s="2706"/>
      <c r="O97" s="2708"/>
      <c r="P97" s="2731"/>
      <c r="Q97" s="2731"/>
      <c r="R97" s="2731"/>
      <c r="S97" s="2731"/>
      <c r="T97" s="2731"/>
    </row>
    <row r="98" spans="1:20" ht="15.75" hidden="1" customHeight="1">
      <c r="A98" s="3899"/>
      <c r="B98" s="2764">
        <v>8</v>
      </c>
      <c r="C98" s="2765">
        <f t="shared" si="5"/>
        <v>46.400000000000006</v>
      </c>
      <c r="D98" s="2767">
        <v>1.282</v>
      </c>
      <c r="E98" s="2707"/>
      <c r="F98" s="2707"/>
      <c r="G98" s="2707"/>
      <c r="H98" s="2707"/>
      <c r="I98" s="2709"/>
      <c r="J98" s="2710"/>
      <c r="K98" s="2708"/>
      <c r="L98" s="2708"/>
      <c r="M98" s="2706"/>
      <c r="N98" s="2706"/>
      <c r="O98" s="2708"/>
      <c r="P98" s="2731"/>
      <c r="Q98" s="2731"/>
      <c r="R98" s="2731"/>
      <c r="S98" s="2731"/>
      <c r="T98" s="2731"/>
    </row>
    <row r="99" spans="1:20" ht="15.75" hidden="1" customHeight="1">
      <c r="A99" s="3899"/>
      <c r="B99" s="2764">
        <v>9</v>
      </c>
      <c r="C99" s="2765">
        <f t="shared" si="5"/>
        <v>48.2</v>
      </c>
      <c r="D99" s="2767">
        <v>1.2370000000000001</v>
      </c>
      <c r="E99" s="2707"/>
      <c r="F99" s="2707"/>
      <c r="G99" s="2707"/>
      <c r="H99" s="2707"/>
      <c r="I99" s="2709"/>
      <c r="J99" s="2710"/>
      <c r="K99" s="2708"/>
      <c r="L99" s="2708"/>
      <c r="M99" s="2706"/>
      <c r="N99" s="2706"/>
      <c r="O99" s="2708"/>
      <c r="P99" s="2731"/>
      <c r="Q99" s="2731"/>
      <c r="R99" s="2731"/>
      <c r="S99" s="2731"/>
      <c r="T99" s="2731"/>
    </row>
    <row r="100" spans="1:20" ht="15.75" hidden="1" customHeight="1">
      <c r="A100" s="3899"/>
      <c r="B100" s="2764">
        <v>10</v>
      </c>
      <c r="C100" s="2765">
        <f t="shared" si="5"/>
        <v>50</v>
      </c>
      <c r="D100" s="2767">
        <v>1.194</v>
      </c>
      <c r="E100" s="2707"/>
      <c r="F100" s="2707"/>
      <c r="G100" s="2707"/>
      <c r="H100" s="2707"/>
      <c r="I100" s="2709"/>
      <c r="J100" s="2710"/>
      <c r="K100" s="2708"/>
      <c r="L100" s="2708"/>
      <c r="M100" s="2706"/>
      <c r="N100" s="2706"/>
      <c r="O100" s="2708"/>
      <c r="P100" s="2731"/>
      <c r="Q100" s="2731"/>
      <c r="R100" s="2731"/>
      <c r="S100" s="2731"/>
      <c r="T100" s="2731"/>
    </row>
    <row r="101" spans="1:20" ht="15.75" hidden="1" customHeight="1">
      <c r="A101" s="3899"/>
      <c r="B101" s="2764">
        <v>11</v>
      </c>
      <c r="C101" s="2765">
        <f t="shared" si="5"/>
        <v>51.8</v>
      </c>
      <c r="D101" s="2767">
        <v>1.1539999999999999</v>
      </c>
      <c r="E101" s="2707"/>
      <c r="F101" s="2707"/>
      <c r="G101" s="2707"/>
      <c r="H101" s="2707"/>
      <c r="I101" s="2709"/>
      <c r="J101" s="2710"/>
      <c r="K101" s="2708"/>
      <c r="L101" s="2708"/>
      <c r="M101" s="2706"/>
      <c r="N101" s="2706"/>
      <c r="O101" s="2708"/>
      <c r="P101" s="2731"/>
      <c r="Q101" s="2731"/>
      <c r="R101" s="2731"/>
      <c r="S101" s="2731"/>
      <c r="T101" s="2731"/>
    </row>
    <row r="102" spans="1:20" ht="15.75" hidden="1" customHeight="1">
      <c r="A102" s="3899"/>
      <c r="B102" s="2764">
        <v>12</v>
      </c>
      <c r="C102" s="2765">
        <f t="shared" si="5"/>
        <v>53.599999999999994</v>
      </c>
      <c r="D102" s="2767">
        <v>1.117</v>
      </c>
      <c r="E102" s="2707"/>
      <c r="F102" s="2707"/>
      <c r="G102" s="2707"/>
      <c r="H102" s="2707"/>
      <c r="I102" s="2709"/>
      <c r="J102" s="2710"/>
      <c r="K102" s="2708"/>
      <c r="L102" s="2708"/>
      <c r="M102" s="2706"/>
      <c r="N102" s="2706"/>
      <c r="O102" s="2708"/>
      <c r="P102" s="2731"/>
      <c r="Q102" s="2731"/>
      <c r="R102" s="2731"/>
      <c r="S102" s="2731"/>
      <c r="T102" s="2731"/>
    </row>
    <row r="103" spans="1:20" ht="15.75" hidden="1" customHeight="1">
      <c r="A103" s="3899"/>
      <c r="B103" s="2764">
        <v>13</v>
      </c>
      <c r="C103" s="2765">
        <f t="shared" si="5"/>
        <v>55.400000000000006</v>
      </c>
      <c r="D103" s="2767">
        <v>1.083</v>
      </c>
      <c r="E103" s="2707"/>
      <c r="F103" s="2707"/>
      <c r="G103" s="2707"/>
      <c r="H103" s="2707"/>
      <c r="I103" s="2709"/>
      <c r="J103" s="2710"/>
      <c r="K103" s="2708"/>
      <c r="L103" s="2708"/>
      <c r="M103" s="2706"/>
      <c r="N103" s="2706"/>
      <c r="O103" s="2708"/>
      <c r="P103" s="2731"/>
      <c r="Q103" s="2731"/>
      <c r="R103" s="2731"/>
      <c r="S103" s="2731"/>
      <c r="T103" s="2731"/>
    </row>
    <row r="104" spans="1:20" ht="15.75" hidden="1" customHeight="1">
      <c r="A104" s="3899"/>
      <c r="B104" s="2764">
        <f>(B103+B105)/2</f>
        <v>13.5</v>
      </c>
      <c r="C104" s="2764">
        <f>(C103+C105)/2</f>
        <v>56.300000000000004</v>
      </c>
      <c r="D104" s="2764">
        <f>(D103+D105)/2</f>
        <v>1.0665</v>
      </c>
      <c r="E104" s="2707"/>
      <c r="F104" s="2707"/>
      <c r="G104" s="2707"/>
      <c r="H104" s="2707"/>
      <c r="I104" s="2709"/>
      <c r="J104" s="2710"/>
      <c r="K104" s="2708"/>
      <c r="L104" s="2708"/>
      <c r="M104" s="2706"/>
      <c r="N104" s="2706"/>
      <c r="O104" s="2708"/>
      <c r="P104" s="2731"/>
      <c r="Q104" s="2731"/>
      <c r="R104" s="2731"/>
      <c r="S104" s="2731"/>
      <c r="T104" s="2731"/>
    </row>
    <row r="105" spans="1:20" ht="15.75" hidden="1" customHeight="1">
      <c r="A105" s="3899"/>
      <c r="B105" s="2764">
        <v>14</v>
      </c>
      <c r="C105" s="2765">
        <f>((B105+40)*9/5)-40</f>
        <v>57.2</v>
      </c>
      <c r="D105" s="2767">
        <v>1.05</v>
      </c>
      <c r="E105" s="2707"/>
      <c r="F105" s="2707"/>
      <c r="G105" s="2707"/>
      <c r="H105" s="2707"/>
      <c r="I105" s="2709"/>
      <c r="J105" s="2710"/>
      <c r="K105" s="2708"/>
      <c r="L105" s="2708"/>
      <c r="M105" s="2706"/>
      <c r="N105" s="2706"/>
      <c r="O105" s="2708"/>
      <c r="P105" s="2731"/>
      <c r="Q105" s="2731"/>
      <c r="R105" s="2731"/>
      <c r="S105" s="2731"/>
      <c r="T105" s="2731"/>
    </row>
    <row r="106" spans="1:20" ht="15.75" hidden="1" customHeight="1">
      <c r="A106" s="3899"/>
      <c r="B106" s="2764">
        <f>(B105+B107)/2</f>
        <v>14.5</v>
      </c>
      <c r="C106" s="2764">
        <f>(C105+C107)/2</f>
        <v>58.1</v>
      </c>
      <c r="D106" s="2764">
        <f>(D105+D107)/2</f>
        <v>1.034</v>
      </c>
      <c r="E106" s="2707"/>
      <c r="F106" s="2707"/>
      <c r="G106" s="2707"/>
      <c r="H106" s="2707"/>
      <c r="I106" s="2709"/>
      <c r="J106" s="2710"/>
      <c r="K106" s="2708"/>
      <c r="L106" s="2708"/>
      <c r="M106" s="2706"/>
      <c r="N106" s="2706"/>
      <c r="O106" s="2708"/>
      <c r="P106" s="2731"/>
      <c r="Q106" s="2731"/>
      <c r="R106" s="2731"/>
      <c r="S106" s="2731"/>
      <c r="T106" s="2731"/>
    </row>
    <row r="107" spans="1:20" ht="15.75" hidden="1" customHeight="1">
      <c r="A107" s="3899"/>
      <c r="B107" s="2764">
        <v>15</v>
      </c>
      <c r="C107" s="2765">
        <f>((B107+40)*9/5)-40</f>
        <v>59</v>
      </c>
      <c r="D107" s="2767">
        <v>1.018</v>
      </c>
      <c r="E107" s="2707"/>
      <c r="F107" s="2707"/>
      <c r="G107" s="2707"/>
      <c r="H107" s="2707"/>
      <c r="I107" s="2709"/>
      <c r="J107" s="2710"/>
      <c r="K107" s="2708"/>
      <c r="L107" s="2708"/>
      <c r="M107" s="2706"/>
      <c r="N107" s="2706"/>
      <c r="O107" s="2708"/>
      <c r="P107" s="2731"/>
      <c r="Q107" s="2731"/>
      <c r="R107" s="2731"/>
      <c r="S107" s="2731"/>
      <c r="T107" s="2731"/>
    </row>
    <row r="108" spans="1:20" ht="15.75" hidden="1" customHeight="1">
      <c r="A108" s="3899"/>
      <c r="B108" s="2764">
        <f>(B107+B109)/2</f>
        <v>15.5</v>
      </c>
      <c r="C108" s="2764">
        <f>(C107+C109)/2</f>
        <v>59.9</v>
      </c>
      <c r="D108" s="2764">
        <f>(D107+D109)/2</f>
        <v>1.0015000000000001</v>
      </c>
      <c r="E108" s="2707"/>
      <c r="F108" s="2707"/>
      <c r="G108" s="2707"/>
      <c r="H108" s="2707"/>
      <c r="I108" s="2709"/>
      <c r="J108" s="2710"/>
      <c r="K108" s="2708"/>
      <c r="L108" s="2708"/>
      <c r="M108" s="2706"/>
      <c r="N108" s="2706"/>
      <c r="O108" s="2708"/>
      <c r="P108" s="2731"/>
      <c r="Q108" s="2731"/>
      <c r="R108" s="2731"/>
      <c r="S108" s="2731"/>
      <c r="T108" s="2731"/>
    </row>
    <row r="109" spans="1:20" ht="15.75" hidden="1" customHeight="1">
      <c r="A109" s="3899"/>
      <c r="B109" s="2764">
        <v>16</v>
      </c>
      <c r="C109" s="2765">
        <f>((B109+40)*9/5)-40</f>
        <v>60.8</v>
      </c>
      <c r="D109" s="2767">
        <v>0.98499999999999999</v>
      </c>
      <c r="E109" s="2707"/>
      <c r="F109" s="2707"/>
      <c r="G109" s="2707"/>
      <c r="H109" s="2707"/>
      <c r="I109" s="2709"/>
      <c r="J109" s="2710"/>
      <c r="K109" s="2708"/>
      <c r="L109" s="2708"/>
      <c r="M109" s="2706"/>
      <c r="N109" s="2706"/>
      <c r="O109" s="2708"/>
      <c r="P109" s="2731"/>
      <c r="Q109" s="2731"/>
      <c r="R109" s="2731"/>
      <c r="S109" s="2731"/>
      <c r="T109" s="2731"/>
    </row>
    <row r="110" spans="1:20" ht="15.75" hidden="1" customHeight="1">
      <c r="A110" s="3899"/>
      <c r="B110" s="2764">
        <f>(B109+B111)/2</f>
        <v>16.5</v>
      </c>
      <c r="C110" s="2764">
        <f>(C109+C111)/2</f>
        <v>61.699999999999996</v>
      </c>
      <c r="D110" s="2764">
        <f>(D109+D111)/2</f>
        <v>0.97049999999999992</v>
      </c>
      <c r="E110" s="2707"/>
      <c r="F110" s="2707"/>
      <c r="G110" s="2707"/>
      <c r="H110" s="2707"/>
      <c r="I110" s="2709"/>
      <c r="J110" s="2710"/>
      <c r="K110" s="2708"/>
      <c r="L110" s="2708"/>
      <c r="M110" s="2706"/>
      <c r="N110" s="2706"/>
      <c r="O110" s="2708"/>
      <c r="P110" s="2731"/>
      <c r="Q110" s="2731"/>
      <c r="R110" s="2731"/>
      <c r="S110" s="2731"/>
      <c r="T110" s="2731"/>
    </row>
    <row r="111" spans="1:20" ht="15.75" hidden="1" customHeight="1">
      <c r="A111" s="3899"/>
      <c r="B111" s="2764">
        <v>17</v>
      </c>
      <c r="C111" s="2765">
        <f>((B111+40)*9/5)-40</f>
        <v>62.599999999999994</v>
      </c>
      <c r="D111" s="2767">
        <v>0.95599999999999996</v>
      </c>
      <c r="E111" s="2707"/>
      <c r="F111" s="2707"/>
      <c r="G111" s="2707"/>
      <c r="H111" s="2707"/>
      <c r="I111" s="2709"/>
      <c r="J111" s="2710"/>
      <c r="K111" s="2708"/>
      <c r="L111" s="2708"/>
      <c r="M111" s="2706"/>
      <c r="N111" s="2706"/>
      <c r="O111" s="2708"/>
      <c r="P111" s="2731"/>
      <c r="Q111" s="2731"/>
      <c r="R111" s="2731"/>
      <c r="S111" s="2731"/>
      <c r="T111" s="2731"/>
    </row>
    <row r="112" spans="1:20" ht="15.75" hidden="1" customHeight="1">
      <c r="A112" s="3899"/>
      <c r="B112" s="2764">
        <f>(B111+B113)/2</f>
        <v>17.5</v>
      </c>
      <c r="C112" s="2764">
        <f>(C111+C113)/2</f>
        <v>63.5</v>
      </c>
      <c r="D112" s="2764">
        <f>(D111+D113)/2</f>
        <v>0.94199999999999995</v>
      </c>
      <c r="E112" s="2707"/>
      <c r="F112" s="2707"/>
      <c r="G112" s="2707"/>
      <c r="H112" s="2707"/>
      <c r="I112" s="2709"/>
      <c r="J112" s="2710"/>
      <c r="K112" s="2708"/>
      <c r="L112" s="2708"/>
      <c r="M112" s="2706"/>
      <c r="N112" s="2706"/>
      <c r="O112" s="2708"/>
      <c r="P112" s="2731"/>
      <c r="Q112" s="2731"/>
      <c r="R112" s="2731"/>
      <c r="S112" s="2731"/>
      <c r="T112" s="2731"/>
    </row>
    <row r="113" spans="1:20" ht="15.75" hidden="1" customHeight="1">
      <c r="A113" s="3899"/>
      <c r="B113" s="2764">
        <v>18</v>
      </c>
      <c r="C113" s="2765">
        <f>((B113+40)*9/5)-40</f>
        <v>64.400000000000006</v>
      </c>
      <c r="D113" s="2767">
        <v>0.92800000000000005</v>
      </c>
      <c r="E113" s="2707"/>
      <c r="F113" s="2707"/>
      <c r="G113" s="2707"/>
      <c r="H113" s="2707"/>
      <c r="I113" s="2709"/>
      <c r="J113" s="2710"/>
      <c r="K113" s="2708"/>
      <c r="L113" s="2708"/>
      <c r="M113" s="2706"/>
      <c r="N113" s="2706"/>
      <c r="O113" s="2708"/>
      <c r="P113" s="2731"/>
      <c r="Q113" s="2731"/>
      <c r="R113" s="2731"/>
      <c r="S113" s="2731"/>
      <c r="T113" s="2731"/>
    </row>
    <row r="114" spans="1:20" ht="15.75" hidden="1" customHeight="1">
      <c r="A114" s="3899"/>
      <c r="B114" s="2764">
        <f>(B113+B115)/2</f>
        <v>18.5</v>
      </c>
      <c r="C114" s="2764">
        <f>(C113+C115)/2</f>
        <v>65.300000000000011</v>
      </c>
      <c r="D114" s="2764">
        <f>(D113+D115)/2</f>
        <v>0.91500000000000004</v>
      </c>
      <c r="E114" s="2707"/>
      <c r="F114" s="2707"/>
      <c r="G114" s="2707"/>
      <c r="H114" s="2707"/>
      <c r="I114" s="2709"/>
      <c r="J114" s="2710"/>
      <c r="K114" s="2708"/>
      <c r="L114" s="2708"/>
      <c r="M114" s="2706"/>
      <c r="N114" s="2706"/>
      <c r="O114" s="2708"/>
      <c r="P114" s="2731"/>
      <c r="Q114" s="2731"/>
      <c r="R114" s="2731"/>
      <c r="S114" s="2731"/>
      <c r="T114" s="2731"/>
    </row>
    <row r="115" spans="1:20" ht="15.75" hidden="1" customHeight="1">
      <c r="A115" s="3899"/>
      <c r="B115" s="2764">
        <v>19</v>
      </c>
      <c r="C115" s="2765">
        <f>((B115+40)*9/5)-40</f>
        <v>66.2</v>
      </c>
      <c r="D115" s="2767">
        <v>0.90200000000000002</v>
      </c>
      <c r="E115" s="2707"/>
      <c r="F115" s="2707"/>
      <c r="G115" s="2707"/>
      <c r="H115" s="2707"/>
      <c r="I115" s="2709"/>
      <c r="J115" s="2710"/>
      <c r="K115" s="2708"/>
      <c r="L115" s="2708"/>
      <c r="M115" s="2706"/>
      <c r="N115" s="2706"/>
      <c r="O115" s="2708"/>
      <c r="P115" s="2731"/>
      <c r="Q115" s="2731"/>
      <c r="R115" s="2731"/>
      <c r="S115" s="2731"/>
      <c r="T115" s="2731"/>
    </row>
    <row r="116" spans="1:20" ht="15.75" hidden="1" customHeight="1">
      <c r="A116" s="3899"/>
      <c r="B116" s="2764">
        <f>(B115+B117)/2</f>
        <v>19.5</v>
      </c>
      <c r="C116" s="2764">
        <f>(C115+C117)/2</f>
        <v>67.099999999999994</v>
      </c>
      <c r="D116" s="2764">
        <f>(D115+D117)/2</f>
        <v>0.88949999999999996</v>
      </c>
      <c r="E116" s="2707"/>
      <c r="F116" s="2707"/>
      <c r="G116" s="2707"/>
      <c r="H116" s="2707"/>
      <c r="I116" s="2709"/>
      <c r="J116" s="2710"/>
      <c r="K116" s="2708"/>
      <c r="L116" s="2708"/>
      <c r="M116" s="2706"/>
      <c r="N116" s="2706"/>
      <c r="O116" s="2708"/>
      <c r="P116" s="2731"/>
      <c r="Q116" s="2731"/>
      <c r="R116" s="2731"/>
      <c r="S116" s="2731"/>
      <c r="T116" s="2731"/>
    </row>
    <row r="117" spans="1:20" ht="15.75" hidden="1" customHeight="1">
      <c r="A117" s="3899"/>
      <c r="B117" s="2764">
        <v>20</v>
      </c>
      <c r="C117" s="2765">
        <f>((B117+40)*9/5)-40</f>
        <v>68</v>
      </c>
      <c r="D117" s="2767">
        <v>0.877</v>
      </c>
      <c r="E117" s="2707"/>
      <c r="F117" s="2707"/>
      <c r="G117" s="2707"/>
      <c r="H117" s="2707"/>
      <c r="I117" s="2709"/>
      <c r="J117" s="2710"/>
      <c r="K117" s="2708"/>
      <c r="L117" s="2708"/>
      <c r="M117" s="2706"/>
      <c r="N117" s="2706"/>
      <c r="O117" s="2708"/>
      <c r="P117" s="2731"/>
      <c r="Q117" s="2731"/>
      <c r="R117" s="2731"/>
      <c r="S117" s="2731"/>
      <c r="T117" s="2731"/>
    </row>
    <row r="118" spans="1:20" ht="15.75" hidden="1" customHeight="1">
      <c r="A118" s="3899"/>
      <c r="B118" s="2764">
        <f>(B117+B119)/2</f>
        <v>20.5</v>
      </c>
      <c r="C118" s="2764">
        <f>(C117+C119)/2</f>
        <v>68.900000000000006</v>
      </c>
      <c r="D118" s="2764">
        <f>(D117+D119)/2</f>
        <v>0.86450000000000005</v>
      </c>
      <c r="E118" s="2707"/>
      <c r="F118" s="2707"/>
      <c r="G118" s="2707"/>
      <c r="H118" s="2707"/>
      <c r="I118" s="2709"/>
      <c r="J118" s="2710"/>
      <c r="K118" s="2708"/>
      <c r="L118" s="2708"/>
      <c r="M118" s="2706"/>
      <c r="N118" s="2706"/>
      <c r="O118" s="2708"/>
      <c r="P118" s="2731"/>
      <c r="Q118" s="2731"/>
      <c r="R118" s="2731"/>
      <c r="S118" s="2731"/>
      <c r="T118" s="2731"/>
    </row>
    <row r="119" spans="1:20" ht="15.75" hidden="1" customHeight="1">
      <c r="A119" s="3899"/>
      <c r="B119" s="2764">
        <v>21</v>
      </c>
      <c r="C119" s="2765">
        <f>((B119+40)*9/5)-40</f>
        <v>69.8</v>
      </c>
      <c r="D119" s="2767">
        <v>0.85199999999999998</v>
      </c>
      <c r="E119" s="2707"/>
      <c r="F119" s="2707"/>
      <c r="G119" s="2707"/>
      <c r="H119" s="2707"/>
      <c r="I119" s="2709"/>
      <c r="J119" s="2710"/>
      <c r="K119" s="2708"/>
      <c r="L119" s="2708"/>
      <c r="M119" s="2706"/>
      <c r="N119" s="2706"/>
      <c r="O119" s="2708"/>
      <c r="P119" s="2731"/>
      <c r="Q119" s="2731"/>
      <c r="R119" s="2731"/>
      <c r="S119" s="2731"/>
      <c r="T119" s="2731"/>
    </row>
    <row r="120" spans="1:20" ht="15.75" hidden="1" customHeight="1">
      <c r="A120" s="3899"/>
      <c r="B120" s="2764">
        <f>(B119+B121)/2</f>
        <v>21.5</v>
      </c>
      <c r="C120" s="2764">
        <f>(C119+C121)/2</f>
        <v>70.699999999999989</v>
      </c>
      <c r="D120" s="2764">
        <f>(D119+D121)/2</f>
        <v>0.83949999999999991</v>
      </c>
      <c r="E120" s="2707"/>
      <c r="F120" s="2707"/>
      <c r="G120" s="2707"/>
      <c r="H120" s="2707"/>
      <c r="I120" s="2709"/>
      <c r="J120" s="2710"/>
      <c r="K120" s="2708"/>
      <c r="L120" s="2708"/>
      <c r="M120" s="2706"/>
      <c r="N120" s="2706"/>
      <c r="O120" s="2708"/>
      <c r="P120" s="2731"/>
      <c r="Q120" s="2731"/>
      <c r="R120" s="2731"/>
      <c r="S120" s="2731"/>
      <c r="T120" s="2731"/>
    </row>
    <row r="121" spans="1:20" ht="15.75" hidden="1" customHeight="1">
      <c r="A121" s="3899"/>
      <c r="B121" s="2764">
        <v>22</v>
      </c>
      <c r="C121" s="2765">
        <f>((B121+40)*9/5)-40</f>
        <v>71.599999999999994</v>
      </c>
      <c r="D121" s="2767">
        <v>0.82699999999999996</v>
      </c>
      <c r="E121" s="2707"/>
      <c r="F121" s="2707"/>
      <c r="G121" s="2707"/>
      <c r="H121" s="2707"/>
      <c r="I121" s="2709"/>
      <c r="J121" s="2710"/>
      <c r="K121" s="2708"/>
      <c r="L121" s="2708"/>
      <c r="M121" s="2706"/>
      <c r="N121" s="2706"/>
      <c r="O121" s="2708"/>
      <c r="P121" s="2731"/>
      <c r="Q121" s="2731"/>
      <c r="R121" s="2731"/>
      <c r="S121" s="2731"/>
      <c r="T121" s="2731"/>
    </row>
    <row r="122" spans="1:20" ht="15.75" hidden="1" customHeight="1">
      <c r="A122" s="3899"/>
      <c r="B122" s="2764">
        <f>(B121+B123)/2</f>
        <v>22.5</v>
      </c>
      <c r="C122" s="2764">
        <f>(C121+C123)/2</f>
        <v>72.5</v>
      </c>
      <c r="D122" s="2764">
        <f>(D121+D123)/2</f>
        <v>0.8145</v>
      </c>
      <c r="E122" s="2707"/>
      <c r="F122" s="2707"/>
      <c r="G122" s="2707"/>
      <c r="H122" s="2707"/>
      <c r="I122" s="2709"/>
      <c r="J122" s="2710"/>
      <c r="K122" s="2708"/>
      <c r="L122" s="2708"/>
      <c r="M122" s="2706"/>
      <c r="N122" s="2706"/>
      <c r="O122" s="2708"/>
      <c r="P122" s="2731"/>
      <c r="Q122" s="2731"/>
      <c r="R122" s="2731"/>
      <c r="S122" s="2731"/>
      <c r="T122" s="2731"/>
    </row>
    <row r="123" spans="1:20" ht="15.75" hidden="1" customHeight="1">
      <c r="A123" s="3899"/>
      <c r="B123" s="2764">
        <v>23</v>
      </c>
      <c r="C123" s="2765">
        <f>((B123+40)*9/5)-40</f>
        <v>73.400000000000006</v>
      </c>
      <c r="D123" s="2767">
        <v>0.80200000000000005</v>
      </c>
      <c r="E123" s="2707"/>
      <c r="F123" s="2707"/>
      <c r="G123" s="2707"/>
      <c r="H123" s="2707"/>
      <c r="I123" s="2709"/>
      <c r="J123" s="2710"/>
      <c r="K123" s="2710"/>
      <c r="L123" s="2713"/>
      <c r="M123" s="2706"/>
      <c r="N123" s="2706"/>
      <c r="O123" s="2708"/>
      <c r="P123" s="2731"/>
      <c r="Q123" s="2731"/>
      <c r="R123" s="2731"/>
      <c r="S123" s="2731"/>
      <c r="T123" s="2731"/>
    </row>
    <row r="124" spans="1:20" ht="15.75" hidden="1" customHeight="1">
      <c r="A124" s="3899"/>
      <c r="B124" s="2764">
        <f>(B123+B125)/2</f>
        <v>23.5</v>
      </c>
      <c r="C124" s="2764">
        <f>(C123+C125)/2</f>
        <v>74.300000000000011</v>
      </c>
      <c r="D124" s="2764">
        <f>(D123+D125)/2</f>
        <v>0.79150000000000009</v>
      </c>
      <c r="E124" s="2707"/>
      <c r="F124" s="2707"/>
      <c r="G124" s="2707"/>
      <c r="H124" s="2707"/>
      <c r="I124" s="2709"/>
      <c r="J124" s="2710"/>
      <c r="K124" s="2710"/>
      <c r="L124" s="2713"/>
      <c r="M124" s="2706"/>
      <c r="N124" s="2706"/>
      <c r="O124" s="2708"/>
      <c r="P124" s="2731"/>
      <c r="Q124" s="2731"/>
      <c r="R124" s="2731"/>
      <c r="S124" s="2731"/>
      <c r="T124" s="2731"/>
    </row>
    <row r="125" spans="1:20" ht="15.75" hidden="1" customHeight="1">
      <c r="A125" s="3899"/>
      <c r="B125" s="2764">
        <v>24</v>
      </c>
      <c r="C125" s="2765">
        <f>((B125+40)*9/5)-40</f>
        <v>75.2</v>
      </c>
      <c r="D125" s="2767">
        <v>0.78100000000000003</v>
      </c>
      <c r="E125" s="2707"/>
      <c r="F125" s="2707"/>
      <c r="G125" s="2707"/>
      <c r="H125" s="2707"/>
      <c r="I125" s="2709"/>
      <c r="J125" s="2710"/>
      <c r="K125" s="2710"/>
      <c r="L125" s="2713"/>
      <c r="M125" s="2708"/>
      <c r="N125" s="2708"/>
      <c r="O125" s="2708"/>
      <c r="P125" s="2731"/>
      <c r="Q125" s="2731"/>
      <c r="R125" s="2731"/>
      <c r="S125" s="2731"/>
      <c r="T125" s="2731"/>
    </row>
    <row r="126" spans="1:20" ht="15.75" hidden="1" customHeight="1">
      <c r="A126" s="3899"/>
      <c r="B126" s="2764">
        <f>(B125+B127)/2</f>
        <v>24.5</v>
      </c>
      <c r="C126" s="2764">
        <f>(C125+C127)/2</f>
        <v>76.099999999999994</v>
      </c>
      <c r="D126" s="2764">
        <f>(D125+D127)/2</f>
        <v>0.77</v>
      </c>
      <c r="E126" s="2707"/>
      <c r="F126" s="2707"/>
      <c r="G126" s="2707"/>
      <c r="H126" s="2707"/>
      <c r="I126" s="2709"/>
      <c r="J126" s="2710"/>
      <c r="K126" s="2710"/>
      <c r="L126" s="2713"/>
      <c r="M126" s="2708"/>
      <c r="N126" s="2708"/>
      <c r="O126" s="2708"/>
      <c r="P126" s="2731"/>
      <c r="Q126" s="2731"/>
      <c r="R126" s="2731"/>
      <c r="S126" s="2731"/>
      <c r="T126" s="2731"/>
    </row>
    <row r="127" spans="1:20" ht="15.75" hidden="1" customHeight="1">
      <c r="A127" s="3899"/>
      <c r="B127" s="2764">
        <v>25</v>
      </c>
      <c r="C127" s="2765">
        <f>((B127+40)*9/5)-40</f>
        <v>77</v>
      </c>
      <c r="D127" s="2767">
        <v>0.75900000000000001</v>
      </c>
      <c r="E127" s="2707"/>
      <c r="F127" s="2707"/>
      <c r="G127" s="2707"/>
      <c r="H127" s="2707"/>
      <c r="I127" s="2709"/>
      <c r="J127" s="2710"/>
      <c r="K127" s="2710"/>
      <c r="L127" s="2713"/>
      <c r="M127" s="2708"/>
      <c r="N127" s="2708"/>
      <c r="O127" s="2708"/>
      <c r="P127" s="2731"/>
      <c r="Q127" s="2731"/>
      <c r="R127" s="2731"/>
      <c r="S127" s="2731"/>
      <c r="T127" s="2731"/>
    </row>
    <row r="128" spans="1:20" ht="15.75" hidden="1" customHeight="1">
      <c r="A128" s="3899"/>
      <c r="B128" s="2764">
        <f>(B127+B129)/2</f>
        <v>25.5</v>
      </c>
      <c r="C128" s="2764">
        <f>(C127+C129)/2</f>
        <v>77.900000000000006</v>
      </c>
      <c r="D128" s="2764">
        <f>(D127+D129)/2</f>
        <v>0.74849999999999994</v>
      </c>
      <c r="E128" s="2707"/>
      <c r="F128" s="2707"/>
      <c r="G128" s="2707"/>
      <c r="H128" s="2707"/>
      <c r="I128" s="2709"/>
      <c r="J128" s="2710"/>
      <c r="K128" s="2710"/>
      <c r="L128" s="2713"/>
      <c r="M128" s="2708"/>
      <c r="N128" s="2708"/>
      <c r="O128" s="2708"/>
      <c r="P128" s="2731"/>
      <c r="Q128" s="2731"/>
      <c r="R128" s="2731"/>
      <c r="S128" s="2731"/>
      <c r="T128" s="2731"/>
    </row>
    <row r="129" spans="1:20" ht="15.75" hidden="1" customHeight="1">
      <c r="A129" s="3899"/>
      <c r="B129" s="2764">
        <v>26</v>
      </c>
      <c r="C129" s="2765">
        <f>((B129+40)*9/5)-40</f>
        <v>78.8</v>
      </c>
      <c r="D129" s="2767">
        <v>0.73799999999999999</v>
      </c>
      <c r="E129" s="2707"/>
      <c r="F129" s="2707"/>
      <c r="G129" s="2707"/>
      <c r="H129" s="2707"/>
      <c r="I129" s="2709"/>
      <c r="J129" s="2710"/>
      <c r="K129" s="2710"/>
      <c r="L129" s="2713"/>
      <c r="M129" s="2708"/>
      <c r="N129" s="2708"/>
      <c r="O129" s="2708"/>
      <c r="P129" s="2731"/>
      <c r="Q129" s="2731"/>
      <c r="R129" s="2731"/>
      <c r="S129" s="2731"/>
      <c r="T129" s="2731"/>
    </row>
    <row r="130" spans="1:20" ht="15.75" hidden="1" customHeight="1">
      <c r="A130" s="3899"/>
      <c r="B130" s="2764">
        <v>27</v>
      </c>
      <c r="C130" s="2765">
        <f>((B130+40)*9/5)-40</f>
        <v>80.599999999999994</v>
      </c>
      <c r="D130" s="2767">
        <v>0.71799999999999997</v>
      </c>
      <c r="E130" s="2707"/>
      <c r="F130" s="2707"/>
      <c r="G130" s="2707"/>
      <c r="H130" s="2707"/>
      <c r="I130" s="2709"/>
      <c r="J130" s="2710"/>
      <c r="K130" s="2710"/>
      <c r="L130" s="2713"/>
      <c r="M130" s="2708"/>
      <c r="N130" s="2708"/>
      <c r="O130" s="2708"/>
      <c r="P130" s="2731"/>
      <c r="Q130" s="2731"/>
      <c r="R130" s="2731"/>
      <c r="S130" s="2731"/>
      <c r="T130" s="2731"/>
    </row>
    <row r="131" spans="1:20" ht="15.75" hidden="1" customHeight="1">
      <c r="A131" s="3899"/>
      <c r="B131" s="2764">
        <v>28</v>
      </c>
      <c r="C131" s="2765">
        <f>((B131+40)*9/5)-40</f>
        <v>82.4</v>
      </c>
      <c r="D131" s="2767">
        <v>0.69899999999999995</v>
      </c>
      <c r="E131" s="2707"/>
      <c r="F131" s="2707"/>
      <c r="G131" s="2707"/>
      <c r="H131" s="2707"/>
      <c r="I131" s="2709"/>
      <c r="J131" s="2710"/>
      <c r="K131" s="2710"/>
      <c r="L131" s="2713"/>
      <c r="M131" s="2708"/>
      <c r="N131" s="2708"/>
      <c r="O131" s="2708"/>
      <c r="P131" s="2731"/>
      <c r="Q131" s="2731"/>
      <c r="R131" s="2731"/>
      <c r="S131" s="2731"/>
      <c r="T131" s="2731"/>
    </row>
    <row r="132" spans="1:20" ht="15.75" hidden="1" customHeight="1">
      <c r="A132" s="3899"/>
      <c r="B132" s="2764">
        <v>29</v>
      </c>
      <c r="C132" s="2765">
        <f>((B132+40)*9/5)-40</f>
        <v>84.2</v>
      </c>
      <c r="D132" s="2766">
        <v>0.68200000000000005</v>
      </c>
      <c r="E132" s="2707"/>
      <c r="F132" s="2707"/>
      <c r="G132" s="2707"/>
      <c r="H132" s="2707"/>
      <c r="I132" s="2709"/>
      <c r="J132" s="2710"/>
      <c r="K132" s="2710"/>
      <c r="L132" s="2713"/>
      <c r="M132" s="2708"/>
      <c r="N132" s="2708"/>
      <c r="O132" s="2708"/>
      <c r="P132" s="2731"/>
      <c r="Q132" s="2731"/>
      <c r="R132" s="2731"/>
      <c r="S132" s="2731"/>
      <c r="T132" s="2731"/>
    </row>
    <row r="133" spans="1:20" ht="15.75" hidden="1" customHeight="1">
      <c r="A133" s="3899"/>
      <c r="B133" s="2768">
        <v>30</v>
      </c>
      <c r="C133" s="2769">
        <f>((B133+40)*9/5)-40</f>
        <v>86</v>
      </c>
      <c r="D133" s="2770">
        <v>0.66500000000000004</v>
      </c>
      <c r="E133" s="2707"/>
      <c r="F133" s="2707"/>
      <c r="G133" s="2707"/>
      <c r="H133" s="2707"/>
      <c r="I133" s="2707"/>
      <c r="J133" s="2707"/>
      <c r="K133" s="2707"/>
      <c r="L133" s="2707"/>
      <c r="M133" s="2707"/>
      <c r="N133" s="2707"/>
      <c r="O133" s="2707"/>
      <c r="P133" s="2731"/>
      <c r="Q133" s="2731"/>
      <c r="R133" s="2731"/>
      <c r="S133" s="2731"/>
      <c r="T133" s="2731"/>
    </row>
  </sheetData>
  <sheetProtection password="FA80" sheet="1" objects="1" scenarios="1"/>
  <mergeCells count="115">
    <mergeCell ref="A88:A133"/>
    <mergeCell ref="B88:C88"/>
    <mergeCell ref="B80:H80"/>
    <mergeCell ref="B81:H81"/>
    <mergeCell ref="I81:J81"/>
    <mergeCell ref="A86:G86"/>
    <mergeCell ref="P86:Q86"/>
    <mergeCell ref="R86:S86"/>
    <mergeCell ref="N71:S85"/>
    <mergeCell ref="I72:J72"/>
    <mergeCell ref="B73:I73"/>
    <mergeCell ref="B74:H74"/>
    <mergeCell ref="G75:H75"/>
    <mergeCell ref="B76:H76"/>
    <mergeCell ref="G77:H77"/>
    <mergeCell ref="A78:E78"/>
    <mergeCell ref="B79:H79"/>
    <mergeCell ref="I79:J79"/>
    <mergeCell ref="A61:F61"/>
    <mergeCell ref="E62:G62"/>
    <mergeCell ref="A67:B67"/>
    <mergeCell ref="P67:S67"/>
    <mergeCell ref="B68:I70"/>
    <mergeCell ref="P68:R68"/>
    <mergeCell ref="N69:P70"/>
    <mergeCell ref="B53:C53"/>
    <mergeCell ref="K53:K54"/>
    <mergeCell ref="L53:M53"/>
    <mergeCell ref="A56:D56"/>
    <mergeCell ref="C57:D57"/>
    <mergeCell ref="C58:D58"/>
    <mergeCell ref="G58:H58"/>
    <mergeCell ref="A47:B47"/>
    <mergeCell ref="D47:E47"/>
    <mergeCell ref="F47:I47"/>
    <mergeCell ref="K47:N51"/>
    <mergeCell ref="B48:E48"/>
    <mergeCell ref="F48:I48"/>
    <mergeCell ref="D49:E49"/>
    <mergeCell ref="F49:I49"/>
    <mergeCell ref="B50:E50"/>
    <mergeCell ref="F50:J50"/>
    <mergeCell ref="K39:M39"/>
    <mergeCell ref="K40:N40"/>
    <mergeCell ref="B41:D41"/>
    <mergeCell ref="K41:N44"/>
    <mergeCell ref="K45:N46"/>
    <mergeCell ref="A46:C46"/>
    <mergeCell ref="K35:M35"/>
    <mergeCell ref="K36:M36"/>
    <mergeCell ref="B37:D37"/>
    <mergeCell ref="F37:H37"/>
    <mergeCell ref="K37:M37"/>
    <mergeCell ref="K38:M38"/>
    <mergeCell ref="K31:M31"/>
    <mergeCell ref="K32:M32"/>
    <mergeCell ref="A33:C33"/>
    <mergeCell ref="K33:M33"/>
    <mergeCell ref="D34:F34"/>
    <mergeCell ref="H34:I34"/>
    <mergeCell ref="K34:M34"/>
    <mergeCell ref="K27:M27"/>
    <mergeCell ref="K28:M28"/>
    <mergeCell ref="C29:D29"/>
    <mergeCell ref="K29:M29"/>
    <mergeCell ref="C30:D30"/>
    <mergeCell ref="K30:M30"/>
    <mergeCell ref="B23:F23"/>
    <mergeCell ref="K23:M23"/>
    <mergeCell ref="D24:E24"/>
    <mergeCell ref="F24:G24"/>
    <mergeCell ref="K24:M24"/>
    <mergeCell ref="E25:F26"/>
    <mergeCell ref="G25:H26"/>
    <mergeCell ref="K25:M25"/>
    <mergeCell ref="K26:M26"/>
    <mergeCell ref="C21:D21"/>
    <mergeCell ref="K21:M21"/>
    <mergeCell ref="K22:M22"/>
    <mergeCell ref="D15:E15"/>
    <mergeCell ref="F15:G15"/>
    <mergeCell ref="J15:L15"/>
    <mergeCell ref="E16:F17"/>
    <mergeCell ref="G16:H17"/>
    <mergeCell ref="J16:L16"/>
    <mergeCell ref="J13:L13"/>
    <mergeCell ref="B14:F14"/>
    <mergeCell ref="J14:L14"/>
    <mergeCell ref="E8:F9"/>
    <mergeCell ref="G8:H9"/>
    <mergeCell ref="J8:L8"/>
    <mergeCell ref="J10:L10"/>
    <mergeCell ref="K19:M19"/>
    <mergeCell ref="C20:D20"/>
    <mergeCell ref="K20:M20"/>
    <mergeCell ref="A1:B1"/>
    <mergeCell ref="F1:O1"/>
    <mergeCell ref="Q2:S2"/>
    <mergeCell ref="A3:I3"/>
    <mergeCell ref="J3:N3"/>
    <mergeCell ref="O3:P3"/>
    <mergeCell ref="Q3:S3"/>
    <mergeCell ref="J11:L11"/>
    <mergeCell ref="C12:D12"/>
    <mergeCell ref="J12:L12"/>
    <mergeCell ref="M8:N8"/>
    <mergeCell ref="J9:L9"/>
    <mergeCell ref="A4:I4"/>
    <mergeCell ref="P5:S5"/>
    <mergeCell ref="B6:E6"/>
    <mergeCell ref="K6:M6"/>
    <mergeCell ref="P6:P7"/>
    <mergeCell ref="Q6:R6"/>
    <mergeCell ref="D7:E7"/>
    <mergeCell ref="F7:G7"/>
  </mergeCells>
  <conditionalFormatting sqref="D11">
    <cfRule type="cellIs" dxfId="10" priority="3" stopIfTrue="1" operator="greaterThan">
      <formula>30</formula>
    </cfRule>
  </conditionalFormatting>
  <conditionalFormatting sqref="C28 C19 C11">
    <cfRule type="cellIs" dxfId="9" priority="2" stopIfTrue="1" operator="greaterThan">
      <formula>4</formula>
    </cfRule>
  </conditionalFormatting>
  <conditionalFormatting sqref="D28 D19">
    <cfRule type="cellIs" dxfId="8" priority="1" stopIfTrue="1" operator="greaterThan">
      <formula>86</formula>
    </cfRule>
  </conditionalFormatting>
  <hyperlinks>
    <hyperlink ref="Q2" r:id="rId1"/>
    <hyperlink ref="A47" location="Extract!AQ20" display="Extract!AQ20"/>
    <hyperlink ref="A47:B47" location="Primer!D53" display="Primer!D53"/>
    <hyperlink ref="G49" location="'Beer Data Sheet'!P20" display="=&quot;1 level 5ml tsp sugar = &quot;&amp;'Beer Data Sheet'!P20&amp;&quot;g&quot;"/>
    <hyperlink ref="H49" location="'Beer Data Sheet'!P20" display="=&quot;1 level 5ml tsp sugar = &quot;&amp;'Beer Data Sheet'!P20&amp;&quot;g&quot;"/>
    <hyperlink ref="R86" r:id="rId2"/>
  </hyperlinks>
  <printOptions horizontalCentered="1"/>
  <pageMargins left="0.51181102362204722" right="0.51181102362204722" top="0.31496062992125984" bottom="0.55118110236220474" header="0.31496062992125984" footer="0.51181102362204722"/>
  <pageSetup paperSize="9" scale="41" orientation="portrait" horizontalDpi="4294967293" verticalDpi="300" r:id="rId3"/>
  <drawing r:id="rId4"/>
</worksheet>
</file>

<file path=xl/worksheets/sheet7.xml><?xml version="1.0" encoding="utf-8"?>
<worksheet xmlns="http://schemas.openxmlformats.org/spreadsheetml/2006/main" xmlns:r="http://schemas.openxmlformats.org/officeDocument/2006/relationships">
  <sheetPr enableFormatConditionsCalculation="0">
    <tabColor indexed="35"/>
  </sheetPr>
  <dimension ref="A1:R143"/>
  <sheetViews>
    <sheetView zoomScale="70" zoomScaleNormal="70" zoomScaleSheetLayoutView="75" workbookViewId="0">
      <pane ySplit="4" topLeftCell="A110" activePane="bottomLeft" state="frozen"/>
      <selection pane="bottomLeft" activeCell="A124" sqref="A124:G124"/>
    </sheetView>
  </sheetViews>
  <sheetFormatPr defaultRowHeight="15"/>
  <cols>
    <col min="1" max="1" width="40.5703125" style="854" customWidth="1"/>
    <col min="2" max="2" width="5.85546875" style="854" customWidth="1"/>
    <col min="3" max="3" width="31.140625" style="854" customWidth="1"/>
    <col min="4" max="4" width="15" style="854" customWidth="1"/>
    <col min="5" max="5" width="30.28515625" style="854" customWidth="1"/>
    <col min="6" max="6" width="16.5703125" style="854" customWidth="1"/>
    <col min="7" max="10" width="12.85546875" style="854" customWidth="1"/>
    <col min="11" max="11" width="12.85546875" style="935" customWidth="1"/>
    <col min="12" max="16" width="12.85546875" style="854" customWidth="1"/>
    <col min="17" max="17" width="2.42578125" style="854" customWidth="1"/>
    <col min="18" max="18" width="2.28515625" customWidth="1"/>
    <col min="19" max="19" width="6.7109375" customWidth="1"/>
  </cols>
  <sheetData>
    <row r="1" spans="1:18" ht="30">
      <c r="A1" s="2280" t="s">
        <v>1649</v>
      </c>
      <c r="B1" s="852"/>
      <c r="C1" s="853"/>
      <c r="D1" s="1878"/>
      <c r="E1" s="3916" t="s">
        <v>1178</v>
      </c>
      <c r="F1" s="3916"/>
      <c r="G1" s="3916"/>
      <c r="H1" s="3916"/>
      <c r="I1" s="3916"/>
      <c r="J1" s="855"/>
      <c r="K1" s="3915"/>
      <c r="L1" s="3915"/>
      <c r="M1" s="856"/>
      <c r="N1" s="856"/>
      <c r="O1" s="3910" t="s">
        <v>1650</v>
      </c>
      <c r="P1" s="3910"/>
      <c r="Q1" s="919"/>
      <c r="R1" s="1932"/>
    </row>
    <row r="2" spans="1:18" ht="12.75" customHeight="1">
      <c r="A2" s="2281"/>
      <c r="B2" s="857"/>
      <c r="C2" s="853"/>
      <c r="D2" s="858"/>
      <c r="E2" s="858"/>
      <c r="F2" s="858"/>
      <c r="G2" s="858"/>
      <c r="H2" s="858"/>
      <c r="I2" s="1878"/>
      <c r="J2" s="858"/>
      <c r="K2" s="859"/>
      <c r="L2" s="859"/>
      <c r="M2" s="858"/>
      <c r="N2" s="858"/>
      <c r="O2" s="3911" t="s">
        <v>976</v>
      </c>
      <c r="P2" s="3911"/>
      <c r="Q2" s="919"/>
      <c r="R2" s="1932"/>
    </row>
    <row r="3" spans="1:18" ht="18.75" customHeight="1">
      <c r="A3" s="3917" t="s">
        <v>1179</v>
      </c>
      <c r="B3" s="3917"/>
      <c r="C3" s="3917"/>
      <c r="D3" s="3917"/>
      <c r="E3" s="3917"/>
      <c r="F3" s="853"/>
      <c r="G3" s="853"/>
      <c r="H3" s="2284" t="s">
        <v>1521</v>
      </c>
      <c r="I3" s="3912" t="s">
        <v>1180</v>
      </c>
      <c r="J3" s="3912"/>
      <c r="K3" s="3912" t="s">
        <v>1615</v>
      </c>
      <c r="L3" s="3912"/>
      <c r="M3" s="3913" t="s">
        <v>1181</v>
      </c>
      <c r="N3" s="3913"/>
      <c r="O3" s="3914" t="s">
        <v>1525</v>
      </c>
      <c r="P3" s="3914"/>
      <c r="Q3" s="919"/>
      <c r="R3" s="1932"/>
    </row>
    <row r="4" spans="1:18" ht="15" customHeight="1">
      <c r="A4" s="861" t="s">
        <v>1182</v>
      </c>
      <c r="B4" s="1256" t="s">
        <v>1183</v>
      </c>
      <c r="C4" s="1256" t="s">
        <v>1184</v>
      </c>
      <c r="D4" s="1256" t="s">
        <v>1185</v>
      </c>
      <c r="E4" s="1256" t="s">
        <v>1186</v>
      </c>
      <c r="F4" s="1256" t="s">
        <v>1187</v>
      </c>
      <c r="G4" s="861" t="s">
        <v>1188</v>
      </c>
      <c r="H4" s="863" t="s">
        <v>1189</v>
      </c>
      <c r="I4" s="861" t="s">
        <v>1190</v>
      </c>
      <c r="J4" s="863" t="s">
        <v>1191</v>
      </c>
      <c r="K4" s="861" t="s">
        <v>1192</v>
      </c>
      <c r="L4" s="863" t="s">
        <v>1193</v>
      </c>
      <c r="M4" s="861" t="s">
        <v>1194</v>
      </c>
      <c r="N4" s="863" t="s">
        <v>1195</v>
      </c>
      <c r="O4" s="862" t="s">
        <v>1196</v>
      </c>
      <c r="P4" s="863" t="s">
        <v>1197</v>
      </c>
      <c r="Q4" s="919"/>
      <c r="R4" s="1932"/>
    </row>
    <row r="5" spans="1:18" ht="15" customHeight="1">
      <c r="A5" s="864" t="s">
        <v>1198</v>
      </c>
      <c r="B5" s="1257" t="s">
        <v>1199</v>
      </c>
      <c r="C5" s="1258" t="s">
        <v>1200</v>
      </c>
      <c r="D5" s="1258" t="s">
        <v>1201</v>
      </c>
      <c r="E5" s="1258" t="s">
        <v>1202</v>
      </c>
      <c r="F5" s="1258" t="s">
        <v>1203</v>
      </c>
      <c r="G5" s="866">
        <v>2.8</v>
      </c>
      <c r="H5" s="867">
        <v>4.2</v>
      </c>
      <c r="I5" s="868">
        <v>8</v>
      </c>
      <c r="J5" s="869">
        <v>12</v>
      </c>
      <c r="K5" s="866">
        <v>2</v>
      </c>
      <c r="L5" s="870">
        <v>3</v>
      </c>
      <c r="M5" s="871">
        <v>1028</v>
      </c>
      <c r="N5" s="872">
        <v>1040</v>
      </c>
      <c r="O5" s="865">
        <v>998</v>
      </c>
      <c r="P5" s="872">
        <v>1008</v>
      </c>
      <c r="Q5" s="919"/>
      <c r="R5" s="1932"/>
    </row>
    <row r="6" spans="1:18" ht="15" customHeight="1">
      <c r="A6" s="864"/>
      <c r="B6" s="1257" t="s">
        <v>1204</v>
      </c>
      <c r="C6" s="1258" t="s">
        <v>1205</v>
      </c>
      <c r="D6" s="1258" t="s">
        <v>1201</v>
      </c>
      <c r="E6" s="1258" t="s">
        <v>1202</v>
      </c>
      <c r="F6" s="1258" t="s">
        <v>1203</v>
      </c>
      <c r="G6" s="873">
        <v>4.2</v>
      </c>
      <c r="H6" s="874">
        <v>5.3</v>
      </c>
      <c r="I6" s="875">
        <v>8</v>
      </c>
      <c r="J6" s="876">
        <v>18</v>
      </c>
      <c r="K6" s="873">
        <v>2</v>
      </c>
      <c r="L6" s="877">
        <v>4</v>
      </c>
      <c r="M6" s="871">
        <v>1040</v>
      </c>
      <c r="N6" s="872">
        <v>1050</v>
      </c>
      <c r="O6" s="865">
        <v>1004</v>
      </c>
      <c r="P6" s="872">
        <v>1010</v>
      </c>
      <c r="Q6" s="919"/>
      <c r="R6" s="1932"/>
    </row>
    <row r="7" spans="1:18" ht="15" customHeight="1">
      <c r="A7" s="864"/>
      <c r="B7" s="1257" t="s">
        <v>25</v>
      </c>
      <c r="C7" s="1258" t="s">
        <v>905</v>
      </c>
      <c r="D7" s="1258" t="s">
        <v>1206</v>
      </c>
      <c r="E7" s="1258" t="s">
        <v>1207</v>
      </c>
      <c r="F7" s="1258" t="s">
        <v>1203</v>
      </c>
      <c r="G7" s="873">
        <v>4.2</v>
      </c>
      <c r="H7" s="874">
        <v>5.6</v>
      </c>
      <c r="I7" s="875">
        <v>8</v>
      </c>
      <c r="J7" s="876">
        <v>20</v>
      </c>
      <c r="K7" s="873">
        <v>2.5</v>
      </c>
      <c r="L7" s="877">
        <v>5</v>
      </c>
      <c r="M7" s="871">
        <v>1042</v>
      </c>
      <c r="N7" s="872">
        <v>1055</v>
      </c>
      <c r="O7" s="865">
        <v>1006</v>
      </c>
      <c r="P7" s="872">
        <v>1012</v>
      </c>
      <c r="Q7" s="919"/>
      <c r="R7" s="1932"/>
    </row>
    <row r="8" spans="1:18" ht="15" customHeight="1">
      <c r="A8" s="864"/>
      <c r="B8" s="1257" t="s">
        <v>1208</v>
      </c>
      <c r="C8" s="1258" t="s">
        <v>1209</v>
      </c>
      <c r="D8" s="1258" t="s">
        <v>1210</v>
      </c>
      <c r="E8" s="1258" t="s">
        <v>1210</v>
      </c>
      <c r="F8" s="1258" t="s">
        <v>1203</v>
      </c>
      <c r="G8" s="873">
        <v>4</v>
      </c>
      <c r="H8" s="874">
        <v>5.5</v>
      </c>
      <c r="I8" s="875">
        <v>15</v>
      </c>
      <c r="J8" s="876">
        <v>30</v>
      </c>
      <c r="K8" s="873">
        <v>3</v>
      </c>
      <c r="L8" s="877">
        <v>6</v>
      </c>
      <c r="M8" s="871">
        <v>1040</v>
      </c>
      <c r="N8" s="872">
        <v>1055</v>
      </c>
      <c r="O8" s="865">
        <v>1008</v>
      </c>
      <c r="P8" s="872">
        <v>1013</v>
      </c>
      <c r="Q8" s="919"/>
      <c r="R8" s="1932"/>
    </row>
    <row r="9" spans="1:18" ht="15" customHeight="1">
      <c r="A9" s="878" t="s">
        <v>1211</v>
      </c>
      <c r="B9" s="1259" t="s">
        <v>1199</v>
      </c>
      <c r="C9" s="1260" t="s">
        <v>1212</v>
      </c>
      <c r="D9" s="1260" t="s">
        <v>1201</v>
      </c>
      <c r="E9" s="1260" t="s">
        <v>1202</v>
      </c>
      <c r="F9" s="1260" t="s">
        <v>1213</v>
      </c>
      <c r="G9" s="873">
        <v>4.5999999999999996</v>
      </c>
      <c r="H9" s="874">
        <v>6</v>
      </c>
      <c r="I9" s="875">
        <v>18</v>
      </c>
      <c r="J9" s="876">
        <v>25</v>
      </c>
      <c r="K9" s="873">
        <v>2</v>
      </c>
      <c r="L9" s="877">
        <v>6</v>
      </c>
      <c r="M9" s="880">
        <v>1042</v>
      </c>
      <c r="N9" s="881">
        <v>1050</v>
      </c>
      <c r="O9" s="879">
        <v>1008</v>
      </c>
      <c r="P9" s="881">
        <v>1012</v>
      </c>
      <c r="Q9" s="919"/>
      <c r="R9" s="1932"/>
    </row>
    <row r="10" spans="1:18" ht="15" customHeight="1">
      <c r="A10" s="864"/>
      <c r="B10" s="1257" t="s">
        <v>1204</v>
      </c>
      <c r="C10" s="1258" t="s">
        <v>1214</v>
      </c>
      <c r="D10" s="1258" t="s">
        <v>1215</v>
      </c>
      <c r="E10" s="1258" t="s">
        <v>1215</v>
      </c>
      <c r="F10" s="1258" t="s">
        <v>1213</v>
      </c>
      <c r="G10" s="873">
        <v>4.5999999999999996</v>
      </c>
      <c r="H10" s="874">
        <v>6</v>
      </c>
      <c r="I10" s="875">
        <v>8</v>
      </c>
      <c r="J10" s="876">
        <v>25</v>
      </c>
      <c r="K10" s="873">
        <v>7</v>
      </c>
      <c r="L10" s="877">
        <v>14</v>
      </c>
      <c r="M10" s="871">
        <v>1042</v>
      </c>
      <c r="N10" s="872">
        <v>1055</v>
      </c>
      <c r="O10" s="865">
        <v>1008</v>
      </c>
      <c r="P10" s="872">
        <v>1014</v>
      </c>
      <c r="Q10" s="919"/>
      <c r="R10" s="1932"/>
    </row>
    <row r="11" spans="1:18" ht="15" customHeight="1">
      <c r="A11" s="882"/>
      <c r="B11" s="1261" t="s">
        <v>25</v>
      </c>
      <c r="C11" s="1262" t="s">
        <v>1216</v>
      </c>
      <c r="D11" s="1262" t="s">
        <v>1217</v>
      </c>
      <c r="E11" s="1262" t="s">
        <v>1217</v>
      </c>
      <c r="F11" s="1262" t="s">
        <v>1213</v>
      </c>
      <c r="G11" s="873">
        <v>4.2</v>
      </c>
      <c r="H11" s="874">
        <v>6</v>
      </c>
      <c r="I11" s="875">
        <v>8</v>
      </c>
      <c r="J11" s="876">
        <v>20</v>
      </c>
      <c r="K11" s="873">
        <v>14</v>
      </c>
      <c r="L11" s="877">
        <v>22</v>
      </c>
      <c r="M11" s="884">
        <v>1044</v>
      </c>
      <c r="N11" s="885">
        <v>1056</v>
      </c>
      <c r="O11" s="883">
        <v>1008</v>
      </c>
      <c r="P11" s="885">
        <v>1012</v>
      </c>
      <c r="Q11" s="919"/>
      <c r="R11" s="1932"/>
    </row>
    <row r="12" spans="1:18" ht="16.899999999999999" customHeight="1">
      <c r="A12" s="864" t="s">
        <v>1218</v>
      </c>
      <c r="B12" s="1257" t="s">
        <v>1199</v>
      </c>
      <c r="C12" s="1258" t="s">
        <v>1219</v>
      </c>
      <c r="D12" s="1258" t="s">
        <v>1201</v>
      </c>
      <c r="E12" s="1258" t="s">
        <v>1220</v>
      </c>
      <c r="F12" s="1258" t="s">
        <v>1221</v>
      </c>
      <c r="G12" s="873">
        <v>3</v>
      </c>
      <c r="H12" s="874">
        <v>4.0999999999999996</v>
      </c>
      <c r="I12" s="875">
        <v>20</v>
      </c>
      <c r="J12" s="876">
        <v>35</v>
      </c>
      <c r="K12" s="873">
        <v>3</v>
      </c>
      <c r="L12" s="877">
        <v>6</v>
      </c>
      <c r="M12" s="871">
        <v>1028</v>
      </c>
      <c r="N12" s="872">
        <v>1044</v>
      </c>
      <c r="O12" s="865">
        <v>1008</v>
      </c>
      <c r="P12" s="872">
        <v>1014</v>
      </c>
      <c r="Q12" s="919"/>
      <c r="R12" s="1932"/>
    </row>
    <row r="13" spans="1:18" ht="15.75">
      <c r="A13" s="864"/>
      <c r="B13" s="1257" t="s">
        <v>1204</v>
      </c>
      <c r="C13" s="1258" t="s">
        <v>1222</v>
      </c>
      <c r="D13" s="1258" t="s">
        <v>1220</v>
      </c>
      <c r="E13" s="1258" t="s">
        <v>1220</v>
      </c>
      <c r="F13" s="1258" t="s">
        <v>1221</v>
      </c>
      <c r="G13" s="873">
        <v>4.2</v>
      </c>
      <c r="H13" s="874">
        <v>5.8</v>
      </c>
      <c r="I13" s="875">
        <v>30</v>
      </c>
      <c r="J13" s="876">
        <v>45</v>
      </c>
      <c r="K13" s="873">
        <v>3.5</v>
      </c>
      <c r="L13" s="877">
        <v>6</v>
      </c>
      <c r="M13" s="871">
        <v>1044</v>
      </c>
      <c r="N13" s="872">
        <v>1060</v>
      </c>
      <c r="O13" s="865">
        <v>1013</v>
      </c>
      <c r="P13" s="872">
        <v>1017</v>
      </c>
      <c r="Q13" s="919"/>
      <c r="R13" s="1932"/>
    </row>
    <row r="14" spans="1:18" ht="15.75">
      <c r="A14" s="864"/>
      <c r="B14" s="1257" t="s">
        <v>25</v>
      </c>
      <c r="C14" s="1258" t="s">
        <v>1223</v>
      </c>
      <c r="D14" s="1258" t="s">
        <v>1215</v>
      </c>
      <c r="E14" s="1258" t="s">
        <v>1215</v>
      </c>
      <c r="F14" s="1258" t="s">
        <v>1221</v>
      </c>
      <c r="G14" s="873">
        <v>4.4000000000000004</v>
      </c>
      <c r="H14" s="874">
        <v>5.8</v>
      </c>
      <c r="I14" s="875">
        <v>20</v>
      </c>
      <c r="J14" s="876">
        <v>35</v>
      </c>
      <c r="K14" s="873">
        <v>10</v>
      </c>
      <c r="L14" s="877">
        <v>16</v>
      </c>
      <c r="M14" s="871">
        <v>1044</v>
      </c>
      <c r="N14" s="872">
        <v>1060</v>
      </c>
      <c r="O14" s="865">
        <v>1013</v>
      </c>
      <c r="P14" s="872">
        <v>1017</v>
      </c>
      <c r="Q14" s="919"/>
      <c r="R14" s="1932"/>
    </row>
    <row r="15" spans="1:18" ht="15.75">
      <c r="A15" s="886"/>
      <c r="B15" s="1263" t="s">
        <v>1208</v>
      </c>
      <c r="C15" s="1264" t="s">
        <v>1224</v>
      </c>
      <c r="D15" s="1264" t="s">
        <v>1217</v>
      </c>
      <c r="E15" s="1264" t="s">
        <v>1217</v>
      </c>
      <c r="F15" s="1264" t="s">
        <v>1221</v>
      </c>
      <c r="G15" s="873">
        <v>4.4000000000000004</v>
      </c>
      <c r="H15" s="874">
        <v>5.8</v>
      </c>
      <c r="I15" s="875">
        <v>18</v>
      </c>
      <c r="J15" s="876">
        <v>34</v>
      </c>
      <c r="K15" s="873">
        <v>14</v>
      </c>
      <c r="L15" s="877">
        <v>35</v>
      </c>
      <c r="M15" s="888">
        <v>1044</v>
      </c>
      <c r="N15" s="889">
        <v>1060</v>
      </c>
      <c r="O15" s="887">
        <v>1013</v>
      </c>
      <c r="P15" s="889">
        <v>1017</v>
      </c>
      <c r="Q15" s="919"/>
      <c r="R15" s="1932"/>
    </row>
    <row r="16" spans="1:18" ht="15.75">
      <c r="A16" s="864" t="s">
        <v>1225</v>
      </c>
      <c r="B16" s="1257" t="s">
        <v>1199</v>
      </c>
      <c r="C16" s="1258" t="s">
        <v>1226</v>
      </c>
      <c r="D16" s="1258" t="s">
        <v>1201</v>
      </c>
      <c r="E16" s="1258" t="s">
        <v>1227</v>
      </c>
      <c r="F16" s="1258" t="s">
        <v>1228</v>
      </c>
      <c r="G16" s="873">
        <v>4.7</v>
      </c>
      <c r="H16" s="874">
        <v>5.4</v>
      </c>
      <c r="I16" s="875">
        <v>16</v>
      </c>
      <c r="J16" s="876">
        <v>22</v>
      </c>
      <c r="K16" s="873">
        <v>3</v>
      </c>
      <c r="L16" s="877">
        <v>5</v>
      </c>
      <c r="M16" s="871">
        <v>1044</v>
      </c>
      <c r="N16" s="872">
        <v>1048</v>
      </c>
      <c r="O16" s="865">
        <v>1006</v>
      </c>
      <c r="P16" s="872">
        <v>1012</v>
      </c>
      <c r="Q16" s="919"/>
      <c r="R16" s="1932"/>
    </row>
    <row r="17" spans="1:18" ht="15.75">
      <c r="A17" s="864"/>
      <c r="B17" s="1257" t="s">
        <v>1204</v>
      </c>
      <c r="C17" s="1258" t="s">
        <v>1229</v>
      </c>
      <c r="D17" s="1258" t="s">
        <v>1201</v>
      </c>
      <c r="E17" s="1258" t="s">
        <v>1227</v>
      </c>
      <c r="F17" s="1258" t="s">
        <v>1228</v>
      </c>
      <c r="G17" s="873">
        <v>5.8</v>
      </c>
      <c r="H17" s="874">
        <v>6.3</v>
      </c>
      <c r="I17" s="875">
        <v>18</v>
      </c>
      <c r="J17" s="876">
        <v>25</v>
      </c>
      <c r="K17" s="873">
        <v>4</v>
      </c>
      <c r="L17" s="877">
        <v>7</v>
      </c>
      <c r="M17" s="871">
        <v>1054</v>
      </c>
      <c r="N17" s="872">
        <v>1057</v>
      </c>
      <c r="O17" s="865">
        <v>1010</v>
      </c>
      <c r="P17" s="872">
        <v>1012</v>
      </c>
      <c r="Q17" s="919"/>
      <c r="R17" s="1932"/>
    </row>
    <row r="18" spans="1:18" ht="15.75">
      <c r="A18" s="864"/>
      <c r="B18" s="1257" t="s">
        <v>25</v>
      </c>
      <c r="C18" s="1258" t="s">
        <v>922</v>
      </c>
      <c r="D18" s="1258" t="s">
        <v>900</v>
      </c>
      <c r="E18" s="1258" t="s">
        <v>1227</v>
      </c>
      <c r="F18" s="1258" t="s">
        <v>1228</v>
      </c>
      <c r="G18" s="873">
        <v>6.3</v>
      </c>
      <c r="H18" s="874">
        <v>7.4</v>
      </c>
      <c r="I18" s="875">
        <v>23</v>
      </c>
      <c r="J18" s="876">
        <v>35</v>
      </c>
      <c r="K18" s="873">
        <v>6</v>
      </c>
      <c r="L18" s="877">
        <v>11</v>
      </c>
      <c r="M18" s="871">
        <v>1064</v>
      </c>
      <c r="N18" s="872">
        <v>1072</v>
      </c>
      <c r="O18" s="865">
        <v>1011</v>
      </c>
      <c r="P18" s="872">
        <v>1018</v>
      </c>
      <c r="Q18" s="919"/>
      <c r="R18" s="1932"/>
    </row>
    <row r="19" spans="1:18" ht="15.75">
      <c r="A19" s="878" t="s">
        <v>1230</v>
      </c>
      <c r="B19" s="1259" t="s">
        <v>1199</v>
      </c>
      <c r="C19" s="1260" t="s">
        <v>1231</v>
      </c>
      <c r="D19" s="1260" t="s">
        <v>1201</v>
      </c>
      <c r="E19" s="1260" t="s">
        <v>1220</v>
      </c>
      <c r="F19" s="1260" t="s">
        <v>1228</v>
      </c>
      <c r="G19" s="873">
        <v>2.4</v>
      </c>
      <c r="H19" s="874">
        <v>3.6</v>
      </c>
      <c r="I19" s="875">
        <v>15</v>
      </c>
      <c r="J19" s="876">
        <v>28</v>
      </c>
      <c r="K19" s="873">
        <v>2</v>
      </c>
      <c r="L19" s="877">
        <v>5</v>
      </c>
      <c r="M19" s="880">
        <v>1026</v>
      </c>
      <c r="N19" s="881">
        <v>1034</v>
      </c>
      <c r="O19" s="879">
        <v>1006</v>
      </c>
      <c r="P19" s="881">
        <v>1010</v>
      </c>
      <c r="Q19" s="919"/>
      <c r="R19" s="1932"/>
    </row>
    <row r="20" spans="1:18" ht="15.75">
      <c r="A20" s="864"/>
      <c r="B20" s="1257" t="s">
        <v>1204</v>
      </c>
      <c r="C20" s="1258" t="s">
        <v>1232</v>
      </c>
      <c r="D20" s="1258" t="s">
        <v>1206</v>
      </c>
      <c r="E20" s="1258" t="s">
        <v>1233</v>
      </c>
      <c r="F20" s="1258" t="s">
        <v>1228</v>
      </c>
      <c r="G20" s="873">
        <v>4.4000000000000004</v>
      </c>
      <c r="H20" s="874">
        <v>5.2</v>
      </c>
      <c r="I20" s="875">
        <v>18</v>
      </c>
      <c r="J20" s="876">
        <v>30</v>
      </c>
      <c r="K20" s="873">
        <v>3.5</v>
      </c>
      <c r="L20" s="877">
        <v>5</v>
      </c>
      <c r="M20" s="871">
        <v>1044</v>
      </c>
      <c r="N20" s="872">
        <v>1050</v>
      </c>
      <c r="O20" s="865">
        <v>1007</v>
      </c>
      <c r="P20" s="872">
        <v>1011</v>
      </c>
      <c r="Q20" s="919"/>
      <c r="R20" s="1932"/>
    </row>
    <row r="21" spans="1:18" ht="15.75">
      <c r="A21" s="864"/>
      <c r="B21" s="1257" t="s">
        <v>25</v>
      </c>
      <c r="C21" s="1258" t="s">
        <v>1234</v>
      </c>
      <c r="D21" s="1258" t="s">
        <v>1201</v>
      </c>
      <c r="E21" s="1258" t="s">
        <v>1227</v>
      </c>
      <c r="F21" s="1258" t="s">
        <v>1228</v>
      </c>
      <c r="G21" s="873">
        <v>4.8</v>
      </c>
      <c r="H21" s="874">
        <v>6</v>
      </c>
      <c r="I21" s="875">
        <v>20</v>
      </c>
      <c r="J21" s="876">
        <v>30</v>
      </c>
      <c r="K21" s="873">
        <v>4</v>
      </c>
      <c r="L21" s="877">
        <v>7</v>
      </c>
      <c r="M21" s="871">
        <v>1048</v>
      </c>
      <c r="N21" s="872">
        <v>1056</v>
      </c>
      <c r="O21" s="865">
        <v>1010</v>
      </c>
      <c r="P21" s="872">
        <v>1015</v>
      </c>
      <c r="Q21" s="919"/>
      <c r="R21" s="1932"/>
    </row>
    <row r="22" spans="1:18" ht="15.75">
      <c r="A22" s="882"/>
      <c r="B22" s="1261" t="s">
        <v>1208</v>
      </c>
      <c r="C22" s="1262" t="s">
        <v>1235</v>
      </c>
      <c r="D22" s="1262" t="s">
        <v>1220</v>
      </c>
      <c r="E22" s="1262" t="s">
        <v>1220</v>
      </c>
      <c r="F22" s="1262" t="s">
        <v>1228</v>
      </c>
      <c r="G22" s="873">
        <v>4.4000000000000004</v>
      </c>
      <c r="H22" s="874">
        <v>5.2</v>
      </c>
      <c r="I22" s="875">
        <v>22</v>
      </c>
      <c r="J22" s="876">
        <v>40</v>
      </c>
      <c r="K22" s="873">
        <v>2</v>
      </c>
      <c r="L22" s="877">
        <v>5</v>
      </c>
      <c r="M22" s="884">
        <v>1044</v>
      </c>
      <c r="N22" s="885">
        <v>1050</v>
      </c>
      <c r="O22" s="883">
        <v>1008</v>
      </c>
      <c r="P22" s="885">
        <v>1013</v>
      </c>
      <c r="Q22" s="919"/>
      <c r="R22" s="1932"/>
    </row>
    <row r="23" spans="1:18" ht="15.75">
      <c r="A23" s="864" t="s">
        <v>1236</v>
      </c>
      <c r="B23" s="1257" t="s">
        <v>1199</v>
      </c>
      <c r="C23" s="1258" t="s">
        <v>1237</v>
      </c>
      <c r="D23" s="1258" t="s">
        <v>1215</v>
      </c>
      <c r="E23" s="1258" t="s">
        <v>1215</v>
      </c>
      <c r="F23" s="1258" t="s">
        <v>1228</v>
      </c>
      <c r="G23" s="873">
        <v>5.8</v>
      </c>
      <c r="H23" s="874">
        <v>6.3</v>
      </c>
      <c r="I23" s="875">
        <v>18</v>
      </c>
      <c r="J23" s="876">
        <v>24</v>
      </c>
      <c r="K23" s="873">
        <v>8</v>
      </c>
      <c r="L23" s="877">
        <v>17</v>
      </c>
      <c r="M23" s="871">
        <v>1054</v>
      </c>
      <c r="N23" s="872">
        <v>1060</v>
      </c>
      <c r="O23" s="865">
        <v>1010</v>
      </c>
      <c r="P23" s="872">
        <v>1014</v>
      </c>
      <c r="Q23" s="919"/>
      <c r="R23" s="1932"/>
    </row>
    <row r="24" spans="1:18" ht="15.75">
      <c r="A24" s="864"/>
      <c r="B24" s="1257" t="s">
        <v>1204</v>
      </c>
      <c r="C24" s="1258" t="s">
        <v>1238</v>
      </c>
      <c r="D24" s="1258" t="s">
        <v>1215</v>
      </c>
      <c r="E24" s="1258" t="s">
        <v>1239</v>
      </c>
      <c r="F24" s="1258" t="s">
        <v>1228</v>
      </c>
      <c r="G24" s="873">
        <v>4.8</v>
      </c>
      <c r="H24" s="874">
        <v>6</v>
      </c>
      <c r="I24" s="875">
        <v>20</v>
      </c>
      <c r="J24" s="876">
        <v>30</v>
      </c>
      <c r="K24" s="873">
        <v>12</v>
      </c>
      <c r="L24" s="877">
        <v>22</v>
      </c>
      <c r="M24" s="871">
        <v>1050</v>
      </c>
      <c r="N24" s="872">
        <v>1057</v>
      </c>
      <c r="O24" s="865">
        <v>1012</v>
      </c>
      <c r="P24" s="872">
        <v>1016</v>
      </c>
      <c r="Q24" s="919"/>
      <c r="R24" s="1932"/>
    </row>
    <row r="25" spans="1:18" ht="15.75">
      <c r="A25" s="864"/>
      <c r="B25" s="1257" t="s">
        <v>25</v>
      </c>
      <c r="C25" s="1258" t="s">
        <v>1240</v>
      </c>
      <c r="D25" s="1258" t="s">
        <v>900</v>
      </c>
      <c r="E25" s="1258" t="s">
        <v>900</v>
      </c>
      <c r="F25" s="1258" t="s">
        <v>1228</v>
      </c>
      <c r="G25" s="873">
        <v>6.3</v>
      </c>
      <c r="H25" s="874">
        <v>7.2</v>
      </c>
      <c r="I25" s="875">
        <v>20</v>
      </c>
      <c r="J25" s="876">
        <v>27</v>
      </c>
      <c r="K25" s="873">
        <v>14</v>
      </c>
      <c r="L25" s="877">
        <v>22</v>
      </c>
      <c r="M25" s="871">
        <v>1064</v>
      </c>
      <c r="N25" s="872">
        <v>1072</v>
      </c>
      <c r="O25" s="865">
        <v>1013</v>
      </c>
      <c r="P25" s="872">
        <v>1019</v>
      </c>
      <c r="Q25" s="919"/>
      <c r="R25" s="1932"/>
    </row>
    <row r="26" spans="1:18" ht="15.75">
      <c r="A26" s="878" t="s">
        <v>1241</v>
      </c>
      <c r="B26" s="1259" t="s">
        <v>1199</v>
      </c>
      <c r="C26" s="1260" t="s">
        <v>1242</v>
      </c>
      <c r="D26" s="1260" t="s">
        <v>1215</v>
      </c>
      <c r="E26" s="1260" t="s">
        <v>1215</v>
      </c>
      <c r="F26" s="1260" t="s">
        <v>1012</v>
      </c>
      <c r="G26" s="873">
        <v>4.7</v>
      </c>
      <c r="H26" s="874">
        <v>5.5</v>
      </c>
      <c r="I26" s="875">
        <v>18</v>
      </c>
      <c r="J26" s="876">
        <v>30</v>
      </c>
      <c r="K26" s="873">
        <v>9</v>
      </c>
      <c r="L26" s="877">
        <v>15</v>
      </c>
      <c r="M26" s="880">
        <v>1048</v>
      </c>
      <c r="N26" s="881">
        <v>1055</v>
      </c>
      <c r="O26" s="879">
        <v>1010</v>
      </c>
      <c r="P26" s="881">
        <v>1014</v>
      </c>
      <c r="Q26" s="919"/>
      <c r="R26" s="1932"/>
    </row>
    <row r="27" spans="1:18" ht="15.75">
      <c r="A27" s="864"/>
      <c r="B27" s="1257" t="s">
        <v>1204</v>
      </c>
      <c r="C27" s="1258" t="s">
        <v>1243</v>
      </c>
      <c r="D27" s="1258" t="s">
        <v>1244</v>
      </c>
      <c r="E27" s="1258" t="s">
        <v>1233</v>
      </c>
      <c r="F27" s="1258" t="s">
        <v>1228</v>
      </c>
      <c r="G27" s="873">
        <v>4.3</v>
      </c>
      <c r="H27" s="874">
        <v>5.5</v>
      </c>
      <c r="I27" s="875">
        <v>25</v>
      </c>
      <c r="J27" s="876">
        <v>50</v>
      </c>
      <c r="K27" s="873">
        <v>11</v>
      </c>
      <c r="L27" s="877">
        <v>17</v>
      </c>
      <c r="M27" s="871">
        <v>1044</v>
      </c>
      <c r="N27" s="872">
        <v>1052</v>
      </c>
      <c r="O27" s="865">
        <v>1008</v>
      </c>
      <c r="P27" s="872">
        <v>1014</v>
      </c>
      <c r="Q27" s="919"/>
      <c r="R27" s="1932"/>
    </row>
    <row r="28" spans="1:18" ht="15.75">
      <c r="A28" s="864"/>
      <c r="B28" s="1257" t="s">
        <v>25</v>
      </c>
      <c r="C28" s="1258" t="s">
        <v>1245</v>
      </c>
      <c r="D28" s="1258" t="s">
        <v>1201</v>
      </c>
      <c r="E28" s="1258" t="s">
        <v>1220</v>
      </c>
      <c r="F28" s="1258" t="s">
        <v>1228</v>
      </c>
      <c r="G28" s="873">
        <v>4.7</v>
      </c>
      <c r="H28" s="874">
        <v>5.4</v>
      </c>
      <c r="I28" s="875">
        <v>20</v>
      </c>
      <c r="J28" s="876">
        <v>35</v>
      </c>
      <c r="K28" s="873">
        <v>3</v>
      </c>
      <c r="L28" s="877">
        <v>7</v>
      </c>
      <c r="M28" s="871">
        <v>1045</v>
      </c>
      <c r="N28" s="890">
        <v>1051</v>
      </c>
      <c r="O28" s="891">
        <v>1008</v>
      </c>
      <c r="P28" s="872">
        <v>1012</v>
      </c>
      <c r="Q28" s="919"/>
      <c r="R28" s="1932"/>
    </row>
    <row r="29" spans="1:18" ht="15.75">
      <c r="A29" s="882"/>
      <c r="B29" s="1261" t="s">
        <v>25</v>
      </c>
      <c r="C29" s="1262" t="s">
        <v>1246</v>
      </c>
      <c r="D29" s="1262" t="s">
        <v>1215</v>
      </c>
      <c r="E29" s="1262" t="s">
        <v>1215</v>
      </c>
      <c r="F29" s="1262" t="s">
        <v>1228</v>
      </c>
      <c r="G29" s="873">
        <v>4.8</v>
      </c>
      <c r="H29" s="874">
        <v>5.4</v>
      </c>
      <c r="I29" s="875">
        <v>25</v>
      </c>
      <c r="J29" s="876">
        <v>40</v>
      </c>
      <c r="K29" s="873">
        <v>7</v>
      </c>
      <c r="L29" s="877">
        <v>17</v>
      </c>
      <c r="M29" s="884">
        <v>1048</v>
      </c>
      <c r="N29" s="892">
        <v>1054</v>
      </c>
      <c r="O29" s="893">
        <v>1012</v>
      </c>
      <c r="P29" s="885">
        <v>1016</v>
      </c>
      <c r="Q29" s="919"/>
      <c r="R29" s="1932"/>
    </row>
    <row r="30" spans="1:18" ht="15.75">
      <c r="A30" s="864" t="s">
        <v>1247</v>
      </c>
      <c r="B30" s="1257" t="s">
        <v>1199</v>
      </c>
      <c r="C30" s="1258" t="s">
        <v>932</v>
      </c>
      <c r="D30" s="1258" t="s">
        <v>1217</v>
      </c>
      <c r="E30" s="1258" t="s">
        <v>1217</v>
      </c>
      <c r="F30" s="1258" t="s">
        <v>1228</v>
      </c>
      <c r="G30" s="873">
        <v>4.5</v>
      </c>
      <c r="H30" s="874">
        <v>5.6</v>
      </c>
      <c r="I30" s="875">
        <v>18</v>
      </c>
      <c r="J30" s="876">
        <v>28</v>
      </c>
      <c r="K30" s="873">
        <v>14</v>
      </c>
      <c r="L30" s="877">
        <v>28</v>
      </c>
      <c r="M30" s="871">
        <v>1048</v>
      </c>
      <c r="N30" s="890">
        <v>1056</v>
      </c>
      <c r="O30" s="891">
        <v>1010</v>
      </c>
      <c r="P30" s="872">
        <v>1016</v>
      </c>
      <c r="Q30" s="919"/>
      <c r="R30" s="1932"/>
    </row>
    <row r="31" spans="1:18" ht="15.75">
      <c r="A31" s="864"/>
      <c r="B31" s="1257" t="s">
        <v>1204</v>
      </c>
      <c r="C31" s="1258" t="s">
        <v>935</v>
      </c>
      <c r="D31" s="1258" t="s">
        <v>1217</v>
      </c>
      <c r="E31" s="1258" t="s">
        <v>1217</v>
      </c>
      <c r="F31" s="1258" t="s">
        <v>1228</v>
      </c>
      <c r="G31" s="873">
        <v>4.4000000000000004</v>
      </c>
      <c r="H31" s="874">
        <v>5.4</v>
      </c>
      <c r="I31" s="875">
        <v>20</v>
      </c>
      <c r="J31" s="876">
        <v>30</v>
      </c>
      <c r="K31" s="873">
        <v>17</v>
      </c>
      <c r="L31" s="877">
        <v>30</v>
      </c>
      <c r="M31" s="871">
        <v>1046</v>
      </c>
      <c r="N31" s="872">
        <v>1052</v>
      </c>
      <c r="O31" s="865">
        <v>1010</v>
      </c>
      <c r="P31" s="872">
        <v>1016</v>
      </c>
      <c r="Q31" s="919"/>
      <c r="R31" s="1932"/>
    </row>
    <row r="32" spans="1:18" ht="15.75">
      <c r="A32" s="878" t="s">
        <v>1248</v>
      </c>
      <c r="B32" s="1259" t="s">
        <v>1199</v>
      </c>
      <c r="C32" s="1260" t="s">
        <v>1249</v>
      </c>
      <c r="D32" s="1260" t="s">
        <v>900</v>
      </c>
      <c r="E32" s="1260" t="s">
        <v>900</v>
      </c>
      <c r="F32" s="1260" t="s">
        <v>1228</v>
      </c>
      <c r="G32" s="873">
        <v>7</v>
      </c>
      <c r="H32" s="874">
        <v>10</v>
      </c>
      <c r="I32" s="875">
        <v>16</v>
      </c>
      <c r="J32" s="876">
        <v>26</v>
      </c>
      <c r="K32" s="873">
        <v>6</v>
      </c>
      <c r="L32" s="877">
        <v>25</v>
      </c>
      <c r="M32" s="880">
        <v>1072</v>
      </c>
      <c r="N32" s="881">
        <v>1112</v>
      </c>
      <c r="O32" s="879">
        <v>1016</v>
      </c>
      <c r="P32" s="881">
        <v>1024</v>
      </c>
      <c r="Q32" s="919"/>
      <c r="R32" s="1932"/>
    </row>
    <row r="33" spans="1:18" ht="15.75">
      <c r="A33" s="864"/>
      <c r="B33" s="1257" t="s">
        <v>1204</v>
      </c>
      <c r="C33" s="1258" t="s">
        <v>910</v>
      </c>
      <c r="D33" s="1258" t="s">
        <v>900</v>
      </c>
      <c r="E33" s="1258" t="s">
        <v>900</v>
      </c>
      <c r="F33" s="1258" t="s">
        <v>1228</v>
      </c>
      <c r="G33" s="873">
        <v>9</v>
      </c>
      <c r="H33" s="874">
        <v>14</v>
      </c>
      <c r="I33" s="875">
        <v>25</v>
      </c>
      <c r="J33" s="876">
        <v>35</v>
      </c>
      <c r="K33" s="873">
        <v>18</v>
      </c>
      <c r="L33" s="877">
        <v>30</v>
      </c>
      <c r="M33" s="871">
        <v>1078</v>
      </c>
      <c r="N33" s="872">
        <v>1120</v>
      </c>
      <c r="O33" s="865">
        <v>1020</v>
      </c>
      <c r="P33" s="872">
        <v>1035</v>
      </c>
      <c r="Q33" s="919"/>
      <c r="R33" s="1932"/>
    </row>
    <row r="34" spans="1:18" ht="15.75">
      <c r="A34" s="882"/>
      <c r="B34" s="1261" t="s">
        <v>25</v>
      </c>
      <c r="C34" s="1262" t="s">
        <v>1250</v>
      </c>
      <c r="D34" s="1262" t="s">
        <v>934</v>
      </c>
      <c r="E34" s="1262" t="s">
        <v>934</v>
      </c>
      <c r="F34" s="1262" t="s">
        <v>1251</v>
      </c>
      <c r="G34" s="873">
        <v>6.5</v>
      </c>
      <c r="H34" s="874">
        <v>9.5</v>
      </c>
      <c r="I34" s="875">
        <v>20</v>
      </c>
      <c r="J34" s="876">
        <v>40</v>
      </c>
      <c r="K34" s="873">
        <v>17</v>
      </c>
      <c r="L34" s="877">
        <v>30</v>
      </c>
      <c r="M34" s="884">
        <v>1060</v>
      </c>
      <c r="N34" s="885">
        <v>1090</v>
      </c>
      <c r="O34" s="883">
        <v>1016</v>
      </c>
      <c r="P34" s="885">
        <v>1024</v>
      </c>
      <c r="Q34" s="919"/>
      <c r="R34" s="1932"/>
    </row>
    <row r="35" spans="1:18" ht="15.75">
      <c r="A35" s="864" t="s">
        <v>1252</v>
      </c>
      <c r="B35" s="1257" t="s">
        <v>1199</v>
      </c>
      <c r="C35" s="1258" t="s">
        <v>1253</v>
      </c>
      <c r="D35" s="1258" t="s">
        <v>1210</v>
      </c>
      <c r="E35" s="1258" t="s">
        <v>1210</v>
      </c>
      <c r="F35" s="1258" t="s">
        <v>1228</v>
      </c>
      <c r="G35" s="873">
        <v>4.3</v>
      </c>
      <c r="H35" s="874">
        <v>5.6</v>
      </c>
      <c r="I35" s="875">
        <v>8</v>
      </c>
      <c r="J35" s="876">
        <v>15</v>
      </c>
      <c r="K35" s="873">
        <v>2</v>
      </c>
      <c r="L35" s="877">
        <v>6</v>
      </c>
      <c r="M35" s="871">
        <v>1044</v>
      </c>
      <c r="N35" s="872">
        <v>1052</v>
      </c>
      <c r="O35" s="865">
        <v>1010</v>
      </c>
      <c r="P35" s="872">
        <v>1014</v>
      </c>
      <c r="Q35" s="919"/>
      <c r="R35" s="1932"/>
    </row>
    <row r="36" spans="1:18" ht="15.75">
      <c r="A36" s="864"/>
      <c r="B36" s="1257" t="s">
        <v>1204</v>
      </c>
      <c r="C36" s="1258" t="s">
        <v>1254</v>
      </c>
      <c r="D36" s="1258" t="s">
        <v>1210</v>
      </c>
      <c r="E36" s="1258" t="s">
        <v>1210</v>
      </c>
      <c r="F36" s="1258" t="s">
        <v>1228</v>
      </c>
      <c r="G36" s="873">
        <v>4.3</v>
      </c>
      <c r="H36" s="874">
        <v>5.6</v>
      </c>
      <c r="I36" s="875">
        <v>10</v>
      </c>
      <c r="J36" s="876">
        <v>18</v>
      </c>
      <c r="K36" s="873">
        <v>14</v>
      </c>
      <c r="L36" s="877">
        <v>23</v>
      </c>
      <c r="M36" s="871">
        <v>1044</v>
      </c>
      <c r="N36" s="872">
        <v>1056</v>
      </c>
      <c r="O36" s="865">
        <v>1010</v>
      </c>
      <c r="P36" s="872">
        <v>1014</v>
      </c>
      <c r="Q36" s="919"/>
      <c r="R36" s="1932"/>
    </row>
    <row r="37" spans="1:18" ht="15.75">
      <c r="A37" s="864"/>
      <c r="B37" s="1257" t="s">
        <v>25</v>
      </c>
      <c r="C37" s="1258" t="s">
        <v>942</v>
      </c>
      <c r="D37" s="1258" t="s">
        <v>1210</v>
      </c>
      <c r="E37" s="1258" t="s">
        <v>1210</v>
      </c>
      <c r="F37" s="1258" t="s">
        <v>1228</v>
      </c>
      <c r="G37" s="873">
        <v>6.5</v>
      </c>
      <c r="H37" s="874">
        <v>9</v>
      </c>
      <c r="I37" s="875">
        <v>15</v>
      </c>
      <c r="J37" s="876">
        <v>30</v>
      </c>
      <c r="K37" s="873">
        <v>6</v>
      </c>
      <c r="L37" s="877">
        <v>25</v>
      </c>
      <c r="M37" s="871">
        <v>1064</v>
      </c>
      <c r="N37" s="872">
        <v>1090</v>
      </c>
      <c r="O37" s="865">
        <v>1015</v>
      </c>
      <c r="P37" s="872">
        <v>1022</v>
      </c>
      <c r="Q37" s="919"/>
      <c r="R37" s="1932"/>
    </row>
    <row r="38" spans="1:18" ht="15.75">
      <c r="A38" s="878" t="s">
        <v>1255</v>
      </c>
      <c r="B38" s="1259" t="s">
        <v>1199</v>
      </c>
      <c r="C38" s="1260" t="s">
        <v>1256</v>
      </c>
      <c r="D38" s="1260" t="s">
        <v>1244</v>
      </c>
      <c r="E38" s="1260" t="s">
        <v>917</v>
      </c>
      <c r="F38" s="1260" t="s">
        <v>1257</v>
      </c>
      <c r="G38" s="873">
        <v>3.2</v>
      </c>
      <c r="H38" s="874">
        <v>3.8</v>
      </c>
      <c r="I38" s="875">
        <v>25</v>
      </c>
      <c r="J38" s="876">
        <v>35</v>
      </c>
      <c r="K38" s="873">
        <v>8</v>
      </c>
      <c r="L38" s="877">
        <v>14</v>
      </c>
      <c r="M38" s="880">
        <v>1030</v>
      </c>
      <c r="N38" s="881">
        <v>1039</v>
      </c>
      <c r="O38" s="879">
        <v>1007</v>
      </c>
      <c r="P38" s="881">
        <v>1011</v>
      </c>
      <c r="Q38" s="919"/>
      <c r="R38" s="1932"/>
    </row>
    <row r="39" spans="1:18" ht="15.75">
      <c r="A39" s="864"/>
      <c r="B39" s="1257" t="s">
        <v>1204</v>
      </c>
      <c r="C39" s="1258" t="s">
        <v>1258</v>
      </c>
      <c r="D39" s="1258" t="s">
        <v>1244</v>
      </c>
      <c r="E39" s="1258" t="s">
        <v>917</v>
      </c>
      <c r="F39" s="1258" t="s">
        <v>1257</v>
      </c>
      <c r="G39" s="873">
        <v>3.8</v>
      </c>
      <c r="H39" s="874">
        <v>4.5999999999999996</v>
      </c>
      <c r="I39" s="875">
        <v>25</v>
      </c>
      <c r="J39" s="876">
        <v>40</v>
      </c>
      <c r="K39" s="873">
        <v>8</v>
      </c>
      <c r="L39" s="877">
        <v>16</v>
      </c>
      <c r="M39" s="871">
        <v>1040</v>
      </c>
      <c r="N39" s="872">
        <v>1048</v>
      </c>
      <c r="O39" s="865">
        <v>1008</v>
      </c>
      <c r="P39" s="872">
        <v>1012</v>
      </c>
      <c r="Q39" s="919"/>
      <c r="R39" s="1932"/>
    </row>
    <row r="40" spans="1:18" ht="15.75">
      <c r="A40" s="882"/>
      <c r="B40" s="1261" t="s">
        <v>25</v>
      </c>
      <c r="C40" s="1262" t="s">
        <v>1259</v>
      </c>
      <c r="D40" s="1262" t="s">
        <v>1244</v>
      </c>
      <c r="E40" s="1262" t="s">
        <v>917</v>
      </c>
      <c r="F40" s="1262" t="s">
        <v>1257</v>
      </c>
      <c r="G40" s="873">
        <v>4.5999999999999996</v>
      </c>
      <c r="H40" s="874">
        <v>6.2</v>
      </c>
      <c r="I40" s="875">
        <v>30</v>
      </c>
      <c r="J40" s="876">
        <v>50</v>
      </c>
      <c r="K40" s="873">
        <v>8</v>
      </c>
      <c r="L40" s="877">
        <v>18</v>
      </c>
      <c r="M40" s="884">
        <v>1048</v>
      </c>
      <c r="N40" s="885">
        <v>1060</v>
      </c>
      <c r="O40" s="883">
        <v>1010</v>
      </c>
      <c r="P40" s="885">
        <v>1016</v>
      </c>
      <c r="Q40" s="919"/>
      <c r="R40" s="1932"/>
    </row>
    <row r="41" spans="1:18" ht="15.75">
      <c r="A41" s="864" t="s">
        <v>1260</v>
      </c>
      <c r="B41" s="1257" t="s">
        <v>1199</v>
      </c>
      <c r="C41" s="1258" t="s">
        <v>1261</v>
      </c>
      <c r="D41" s="1258" t="s">
        <v>1206</v>
      </c>
      <c r="E41" s="1258" t="s">
        <v>1262</v>
      </c>
      <c r="F41" s="1258" t="s">
        <v>1257</v>
      </c>
      <c r="G41" s="873">
        <v>3.8</v>
      </c>
      <c r="H41" s="874">
        <v>5</v>
      </c>
      <c r="I41" s="875">
        <v>20</v>
      </c>
      <c r="J41" s="876">
        <v>45</v>
      </c>
      <c r="K41" s="873">
        <v>2</v>
      </c>
      <c r="L41" s="877">
        <v>6</v>
      </c>
      <c r="M41" s="871">
        <v>1038</v>
      </c>
      <c r="N41" s="872">
        <v>1053</v>
      </c>
      <c r="O41" s="865">
        <v>1006</v>
      </c>
      <c r="P41" s="872">
        <v>1012</v>
      </c>
      <c r="Q41" s="919"/>
      <c r="R41" s="1932"/>
    </row>
    <row r="42" spans="1:18" ht="15.75">
      <c r="A42" s="864"/>
      <c r="B42" s="1257" t="s">
        <v>1204</v>
      </c>
      <c r="C42" s="1258" t="s">
        <v>1263</v>
      </c>
      <c r="D42" s="1258" t="s">
        <v>1206</v>
      </c>
      <c r="E42" s="1258" t="s">
        <v>1262</v>
      </c>
      <c r="F42" s="1258" t="s">
        <v>1264</v>
      </c>
      <c r="G42" s="873">
        <v>4.5</v>
      </c>
      <c r="H42" s="874">
        <v>6</v>
      </c>
      <c r="I42" s="875">
        <v>20</v>
      </c>
      <c r="J42" s="876">
        <v>35</v>
      </c>
      <c r="K42" s="873">
        <v>4</v>
      </c>
      <c r="L42" s="877">
        <v>7</v>
      </c>
      <c r="M42" s="871">
        <v>1038</v>
      </c>
      <c r="N42" s="872">
        <v>1050</v>
      </c>
      <c r="O42" s="865">
        <v>1004</v>
      </c>
      <c r="P42" s="872">
        <v>1006</v>
      </c>
      <c r="Q42" s="919"/>
      <c r="R42" s="1932"/>
    </row>
    <row r="43" spans="1:18" ht="15.75">
      <c r="A43" s="864"/>
      <c r="B43" s="1257" t="s">
        <v>25</v>
      </c>
      <c r="C43" s="1258" t="s">
        <v>1265</v>
      </c>
      <c r="D43" s="1258" t="s">
        <v>1266</v>
      </c>
      <c r="E43" s="1258" t="s">
        <v>917</v>
      </c>
      <c r="F43" s="1258" t="s">
        <v>1257</v>
      </c>
      <c r="G43" s="873">
        <v>5</v>
      </c>
      <c r="H43" s="874">
        <v>7.5</v>
      </c>
      <c r="I43" s="875">
        <v>40</v>
      </c>
      <c r="J43" s="876">
        <v>60</v>
      </c>
      <c r="K43" s="873">
        <v>6</v>
      </c>
      <c r="L43" s="877">
        <v>14</v>
      </c>
      <c r="M43" s="871">
        <v>1050</v>
      </c>
      <c r="N43" s="872">
        <v>1075</v>
      </c>
      <c r="O43" s="865">
        <v>1010</v>
      </c>
      <c r="P43" s="872">
        <v>1018</v>
      </c>
      <c r="Q43" s="919"/>
      <c r="R43" s="1932"/>
    </row>
    <row r="44" spans="1:18" ht="15.75">
      <c r="A44" s="878" t="s">
        <v>1267</v>
      </c>
      <c r="B44" s="1259" t="s">
        <v>1199</v>
      </c>
      <c r="C44" s="1260" t="s">
        <v>1268</v>
      </c>
      <c r="D44" s="1260" t="s">
        <v>1269</v>
      </c>
      <c r="E44" s="1260" t="s">
        <v>913</v>
      </c>
      <c r="F44" s="1260" t="s">
        <v>1257</v>
      </c>
      <c r="G44" s="873">
        <v>3</v>
      </c>
      <c r="H44" s="874">
        <v>3.8</v>
      </c>
      <c r="I44" s="875">
        <v>10</v>
      </c>
      <c r="J44" s="876">
        <v>25</v>
      </c>
      <c r="K44" s="873">
        <v>12</v>
      </c>
      <c r="L44" s="877">
        <v>25</v>
      </c>
      <c r="M44" s="880">
        <v>1030</v>
      </c>
      <c r="N44" s="881">
        <v>1038</v>
      </c>
      <c r="O44" s="879">
        <v>1008</v>
      </c>
      <c r="P44" s="881">
        <v>1013</v>
      </c>
      <c r="Q44" s="919"/>
      <c r="R44" s="1932"/>
    </row>
    <row r="45" spans="1:18" ht="15.75">
      <c r="A45" s="864"/>
      <c r="B45" s="1257" t="s">
        <v>1204</v>
      </c>
      <c r="C45" s="1258" t="s">
        <v>1270</v>
      </c>
      <c r="D45" s="1258" t="s">
        <v>1269</v>
      </c>
      <c r="E45" s="1258"/>
      <c r="F45" s="1258" t="s">
        <v>1257</v>
      </c>
      <c r="G45" s="873">
        <v>4.2</v>
      </c>
      <c r="H45" s="874">
        <v>5.4</v>
      </c>
      <c r="I45" s="875">
        <v>20</v>
      </c>
      <c r="J45" s="876">
        <v>30</v>
      </c>
      <c r="K45" s="873">
        <v>12</v>
      </c>
      <c r="L45" s="877">
        <v>22</v>
      </c>
      <c r="M45" s="871">
        <v>1040</v>
      </c>
      <c r="N45" s="872">
        <v>1052</v>
      </c>
      <c r="O45" s="865">
        <v>1008</v>
      </c>
      <c r="P45" s="872">
        <v>1013</v>
      </c>
      <c r="Q45" s="919"/>
      <c r="R45" s="1932"/>
    </row>
    <row r="46" spans="1:18" ht="15.75">
      <c r="A46" s="882"/>
      <c r="B46" s="1261" t="s">
        <v>25</v>
      </c>
      <c r="C46" s="1262" t="s">
        <v>1271</v>
      </c>
      <c r="D46" s="1262" t="s">
        <v>934</v>
      </c>
      <c r="E46" s="1262" t="s">
        <v>934</v>
      </c>
      <c r="F46" s="1262" t="s">
        <v>1257</v>
      </c>
      <c r="G46" s="894">
        <v>4</v>
      </c>
      <c r="H46" s="895">
        <v>5.4</v>
      </c>
      <c r="I46" s="896">
        <v>18</v>
      </c>
      <c r="J46" s="897">
        <v>35</v>
      </c>
      <c r="K46" s="894">
        <v>20</v>
      </c>
      <c r="L46" s="898">
        <v>30</v>
      </c>
      <c r="M46" s="871">
        <v>1040</v>
      </c>
      <c r="N46" s="885">
        <v>1052</v>
      </c>
      <c r="O46" s="883">
        <v>1008</v>
      </c>
      <c r="P46" s="885">
        <v>1014</v>
      </c>
      <c r="Q46" s="919"/>
      <c r="R46" s="1932"/>
    </row>
    <row r="47" spans="1:18" ht="15.75">
      <c r="A47" s="864" t="s">
        <v>1272</v>
      </c>
      <c r="B47" s="1257" t="s">
        <v>1199</v>
      </c>
      <c r="C47" s="1258" t="s">
        <v>1273</v>
      </c>
      <c r="D47" s="1258" t="s">
        <v>1244</v>
      </c>
      <c r="E47" s="1258"/>
      <c r="F47" s="1258" t="s">
        <v>1274</v>
      </c>
      <c r="G47" s="899">
        <v>2.5</v>
      </c>
      <c r="H47" s="900">
        <v>3.2</v>
      </c>
      <c r="I47" s="901">
        <v>10</v>
      </c>
      <c r="J47" s="902">
        <v>20</v>
      </c>
      <c r="K47" s="899">
        <v>17</v>
      </c>
      <c r="L47" s="903">
        <v>22</v>
      </c>
      <c r="M47" s="880">
        <v>1030</v>
      </c>
      <c r="N47" s="872">
        <v>1035</v>
      </c>
      <c r="O47" s="865">
        <v>1010</v>
      </c>
      <c r="P47" s="872">
        <v>1013</v>
      </c>
      <c r="Q47" s="919"/>
      <c r="R47" s="1932"/>
    </row>
    <row r="48" spans="1:18" ht="15.75">
      <c r="A48" s="864"/>
      <c r="B48" s="1257" t="s">
        <v>1204</v>
      </c>
      <c r="C48" s="1258" t="s">
        <v>1275</v>
      </c>
      <c r="D48" s="1258" t="s">
        <v>1244</v>
      </c>
      <c r="E48" s="1258"/>
      <c r="F48" s="1258" t="s">
        <v>1274</v>
      </c>
      <c r="G48" s="873">
        <v>3.2</v>
      </c>
      <c r="H48" s="874">
        <v>3.9</v>
      </c>
      <c r="I48" s="875">
        <v>10</v>
      </c>
      <c r="J48" s="876">
        <v>20</v>
      </c>
      <c r="K48" s="873">
        <v>13</v>
      </c>
      <c r="L48" s="877">
        <v>22</v>
      </c>
      <c r="M48" s="871">
        <v>1035</v>
      </c>
      <c r="N48" s="872">
        <v>1040</v>
      </c>
      <c r="O48" s="865">
        <v>1010</v>
      </c>
      <c r="P48" s="872">
        <v>1015</v>
      </c>
      <c r="Q48" s="919"/>
      <c r="R48" s="1932"/>
    </row>
    <row r="49" spans="1:18" ht="15.75">
      <c r="A49" s="864"/>
      <c r="B49" s="1257" t="s">
        <v>25</v>
      </c>
      <c r="C49" s="1258" t="s">
        <v>1276</v>
      </c>
      <c r="D49" s="1258" t="s">
        <v>1244</v>
      </c>
      <c r="E49" s="1258"/>
      <c r="F49" s="1258" t="s">
        <v>1274</v>
      </c>
      <c r="G49" s="904">
        <v>3.9</v>
      </c>
      <c r="H49" s="905">
        <v>6</v>
      </c>
      <c r="I49" s="906">
        <v>15</v>
      </c>
      <c r="J49" s="907">
        <v>30</v>
      </c>
      <c r="K49" s="904">
        <v>13</v>
      </c>
      <c r="L49" s="908">
        <v>22</v>
      </c>
      <c r="M49" s="884">
        <v>1040</v>
      </c>
      <c r="N49" s="872">
        <v>1060</v>
      </c>
      <c r="O49" s="865">
        <v>1010</v>
      </c>
      <c r="P49" s="872">
        <v>1016</v>
      </c>
      <c r="Q49" s="919"/>
      <c r="R49" s="1932"/>
    </row>
    <row r="50" spans="1:18" ht="15.75">
      <c r="A50" s="878" t="s">
        <v>1277</v>
      </c>
      <c r="B50" s="1259" t="s">
        <v>1199</v>
      </c>
      <c r="C50" s="1260" t="s">
        <v>1278</v>
      </c>
      <c r="D50" s="1260" t="s">
        <v>1244</v>
      </c>
      <c r="E50" s="1260" t="s">
        <v>1262</v>
      </c>
      <c r="F50" s="1260" t="s">
        <v>1279</v>
      </c>
      <c r="G50" s="909">
        <v>3.8</v>
      </c>
      <c r="H50" s="910">
        <v>5</v>
      </c>
      <c r="I50" s="911">
        <v>18</v>
      </c>
      <c r="J50" s="912">
        <v>28</v>
      </c>
      <c r="K50" s="909">
        <v>9</v>
      </c>
      <c r="L50" s="913">
        <v>14</v>
      </c>
      <c r="M50" s="871">
        <v>1036</v>
      </c>
      <c r="N50" s="881">
        <v>1046</v>
      </c>
      <c r="O50" s="879">
        <v>1010</v>
      </c>
      <c r="P50" s="881">
        <v>1014</v>
      </c>
      <c r="Q50" s="919"/>
      <c r="R50" s="1932"/>
    </row>
    <row r="51" spans="1:18" ht="15.75">
      <c r="A51" s="864"/>
      <c r="B51" s="1257" t="s">
        <v>1204</v>
      </c>
      <c r="C51" s="1258" t="s">
        <v>1280</v>
      </c>
      <c r="D51" s="1258" t="s">
        <v>1281</v>
      </c>
      <c r="E51" s="1258" t="s">
        <v>1280</v>
      </c>
      <c r="F51" s="1258" t="s">
        <v>1279</v>
      </c>
      <c r="G51" s="873">
        <v>4</v>
      </c>
      <c r="H51" s="874">
        <v>4.5</v>
      </c>
      <c r="I51" s="875">
        <v>25</v>
      </c>
      <c r="J51" s="876">
        <v>45</v>
      </c>
      <c r="K51" s="873">
        <v>25</v>
      </c>
      <c r="L51" s="877">
        <v>40</v>
      </c>
      <c r="M51" s="871">
        <v>1036</v>
      </c>
      <c r="N51" s="872">
        <v>1044</v>
      </c>
      <c r="O51" s="865">
        <v>1007</v>
      </c>
      <c r="P51" s="872">
        <v>1011</v>
      </c>
      <c r="Q51" s="919"/>
      <c r="R51" s="1932"/>
    </row>
    <row r="52" spans="1:18" ht="15.75">
      <c r="A52" s="882"/>
      <c r="B52" s="1261" t="s">
        <v>25</v>
      </c>
      <c r="C52" s="1262" t="s">
        <v>1282</v>
      </c>
      <c r="D52" s="1262" t="s">
        <v>1281</v>
      </c>
      <c r="E52" s="1262" t="s">
        <v>1280</v>
      </c>
      <c r="F52" s="1258" t="s">
        <v>1279</v>
      </c>
      <c r="G52" s="894">
        <v>5.5</v>
      </c>
      <c r="H52" s="895">
        <v>6.5</v>
      </c>
      <c r="I52" s="896">
        <v>35</v>
      </c>
      <c r="J52" s="897">
        <v>50</v>
      </c>
      <c r="K52" s="894">
        <v>25</v>
      </c>
      <c r="L52" s="898">
        <v>40</v>
      </c>
      <c r="M52" s="871">
        <v>1052</v>
      </c>
      <c r="N52" s="885">
        <v>1062</v>
      </c>
      <c r="O52" s="883">
        <v>1010</v>
      </c>
      <c r="P52" s="885">
        <v>1014</v>
      </c>
      <c r="Q52" s="919"/>
      <c r="R52" s="1932"/>
    </row>
    <row r="53" spans="1:18" ht="15.75">
      <c r="A53" s="864" t="s">
        <v>1283</v>
      </c>
      <c r="B53" s="1257" t="s">
        <v>1199</v>
      </c>
      <c r="C53" s="1258" t="s">
        <v>938</v>
      </c>
      <c r="D53" s="1258" t="s">
        <v>1281</v>
      </c>
      <c r="E53" s="1258" t="s">
        <v>1284</v>
      </c>
      <c r="F53" s="1260" t="s">
        <v>1257</v>
      </c>
      <c r="G53" s="899">
        <v>4</v>
      </c>
      <c r="H53" s="900">
        <v>6</v>
      </c>
      <c r="I53" s="901">
        <v>20</v>
      </c>
      <c r="J53" s="902">
        <v>40</v>
      </c>
      <c r="K53" s="899">
        <v>30</v>
      </c>
      <c r="L53" s="903">
        <v>40</v>
      </c>
      <c r="M53" s="880">
        <v>1044</v>
      </c>
      <c r="N53" s="872">
        <v>1060</v>
      </c>
      <c r="O53" s="865">
        <v>1012</v>
      </c>
      <c r="P53" s="872">
        <v>1024</v>
      </c>
      <c r="Q53" s="919"/>
      <c r="R53" s="1932"/>
    </row>
    <row r="54" spans="1:18" ht="15.75">
      <c r="A54" s="864"/>
      <c r="B54" s="1257" t="s">
        <v>1204</v>
      </c>
      <c r="C54" s="1258" t="s">
        <v>1285</v>
      </c>
      <c r="D54" s="1258" t="s">
        <v>1281</v>
      </c>
      <c r="E54" s="1258" t="s">
        <v>1284</v>
      </c>
      <c r="F54" s="1258" t="s">
        <v>1257</v>
      </c>
      <c r="G54" s="873">
        <v>4.2</v>
      </c>
      <c r="H54" s="874">
        <v>5.9</v>
      </c>
      <c r="I54" s="875">
        <v>25</v>
      </c>
      <c r="J54" s="876">
        <v>40</v>
      </c>
      <c r="K54" s="873">
        <v>22</v>
      </c>
      <c r="L54" s="877">
        <v>40</v>
      </c>
      <c r="M54" s="871">
        <v>1045</v>
      </c>
      <c r="N54" s="872">
        <v>1065</v>
      </c>
      <c r="O54" s="865">
        <v>1010</v>
      </c>
      <c r="P54" s="872">
        <v>1018</v>
      </c>
      <c r="Q54" s="919"/>
      <c r="R54" s="1932"/>
    </row>
    <row r="55" spans="1:18" ht="15.75">
      <c r="A55" s="864"/>
      <c r="B55" s="1257" t="s">
        <v>25</v>
      </c>
      <c r="C55" s="1258" t="s">
        <v>1286</v>
      </c>
      <c r="D55" s="1258" t="s">
        <v>1281</v>
      </c>
      <c r="E55" s="1258" t="s">
        <v>1284</v>
      </c>
      <c r="F55" s="1258" t="s">
        <v>1257</v>
      </c>
      <c r="G55" s="873">
        <v>5.5</v>
      </c>
      <c r="H55" s="874">
        <v>8</v>
      </c>
      <c r="I55" s="875">
        <v>30</v>
      </c>
      <c r="J55" s="876">
        <v>50</v>
      </c>
      <c r="K55" s="873">
        <v>30</v>
      </c>
      <c r="L55" s="877">
        <v>40</v>
      </c>
      <c r="M55" s="871">
        <v>1056</v>
      </c>
      <c r="N55" s="872">
        <v>1075</v>
      </c>
      <c r="O55" s="865">
        <v>1010</v>
      </c>
      <c r="P55" s="872">
        <v>1018</v>
      </c>
      <c r="Q55" s="919"/>
      <c r="R55" s="1932"/>
    </row>
    <row r="56" spans="1:18" ht="15.75">
      <c r="A56" s="864"/>
      <c r="B56" s="1257" t="s">
        <v>1208</v>
      </c>
      <c r="C56" s="1258" t="s">
        <v>1287</v>
      </c>
      <c r="D56" s="1258" t="s">
        <v>1281</v>
      </c>
      <c r="E56" s="1258" t="s">
        <v>1280</v>
      </c>
      <c r="F56" s="1262" t="s">
        <v>1257</v>
      </c>
      <c r="G56" s="904">
        <v>6.3</v>
      </c>
      <c r="H56" s="905">
        <v>8</v>
      </c>
      <c r="I56" s="906">
        <v>50</v>
      </c>
      <c r="J56" s="907">
        <v>70</v>
      </c>
      <c r="K56" s="904">
        <v>30</v>
      </c>
      <c r="L56" s="908">
        <v>40</v>
      </c>
      <c r="M56" s="884">
        <v>1056</v>
      </c>
      <c r="N56" s="872">
        <v>1075</v>
      </c>
      <c r="O56" s="865">
        <v>1010</v>
      </c>
      <c r="P56" s="872">
        <v>1018</v>
      </c>
      <c r="Q56" s="919"/>
      <c r="R56" s="1932"/>
    </row>
    <row r="57" spans="1:18" ht="15.75">
      <c r="A57" s="878" t="s">
        <v>1288</v>
      </c>
      <c r="B57" s="1259" t="s">
        <v>1199</v>
      </c>
      <c r="C57" s="1260" t="s">
        <v>1289</v>
      </c>
      <c r="D57" s="1260" t="s">
        <v>1290</v>
      </c>
      <c r="E57" s="1260" t="s">
        <v>1290</v>
      </c>
      <c r="F57" s="1258" t="s">
        <v>1257</v>
      </c>
      <c r="G57" s="909">
        <v>5.5</v>
      </c>
      <c r="H57" s="910">
        <v>8</v>
      </c>
      <c r="I57" s="911">
        <v>30</v>
      </c>
      <c r="J57" s="912">
        <v>60</v>
      </c>
      <c r="K57" s="909">
        <v>8</v>
      </c>
      <c r="L57" s="913">
        <v>22</v>
      </c>
      <c r="M57" s="871">
        <v>1055</v>
      </c>
      <c r="N57" s="881">
        <v>1080</v>
      </c>
      <c r="O57" s="879">
        <v>1015</v>
      </c>
      <c r="P57" s="881">
        <v>1022</v>
      </c>
      <c r="Q57" s="919"/>
      <c r="R57" s="1932"/>
    </row>
    <row r="58" spans="1:18" ht="15.75">
      <c r="A58" s="864"/>
      <c r="B58" s="1257" t="s">
        <v>1204</v>
      </c>
      <c r="C58" s="1258" t="s">
        <v>1291</v>
      </c>
      <c r="D58" s="1258" t="s">
        <v>1290</v>
      </c>
      <c r="E58" s="1258" t="s">
        <v>1290</v>
      </c>
      <c r="F58" s="1258" t="s">
        <v>1257</v>
      </c>
      <c r="G58" s="873">
        <v>5.5</v>
      </c>
      <c r="H58" s="874">
        <v>9</v>
      </c>
      <c r="I58" s="875">
        <v>30</v>
      </c>
      <c r="J58" s="876">
        <v>60</v>
      </c>
      <c r="K58" s="873">
        <v>10</v>
      </c>
      <c r="L58" s="877">
        <v>22</v>
      </c>
      <c r="M58" s="871">
        <v>1055</v>
      </c>
      <c r="N58" s="872">
        <v>1088</v>
      </c>
      <c r="O58" s="865">
        <v>1015</v>
      </c>
      <c r="P58" s="872">
        <v>1022</v>
      </c>
      <c r="Q58" s="919"/>
      <c r="R58" s="1932"/>
    </row>
    <row r="59" spans="1:18" ht="15.75">
      <c r="A59" s="864"/>
      <c r="B59" s="1257" t="s">
        <v>25</v>
      </c>
      <c r="C59" s="1258" t="s">
        <v>1292</v>
      </c>
      <c r="D59" s="1258" t="s">
        <v>1290</v>
      </c>
      <c r="E59" s="1258" t="s">
        <v>1290</v>
      </c>
      <c r="F59" s="1258" t="s">
        <v>1274</v>
      </c>
      <c r="G59" s="873">
        <v>6.5</v>
      </c>
      <c r="H59" s="874">
        <v>10</v>
      </c>
      <c r="I59" s="875">
        <v>17</v>
      </c>
      <c r="J59" s="876">
        <v>35</v>
      </c>
      <c r="K59" s="873">
        <v>14</v>
      </c>
      <c r="L59" s="877">
        <v>25</v>
      </c>
      <c r="M59" s="871">
        <v>1070</v>
      </c>
      <c r="N59" s="872">
        <v>1130</v>
      </c>
      <c r="O59" s="865">
        <v>1018</v>
      </c>
      <c r="P59" s="872">
        <v>1040</v>
      </c>
      <c r="Q59" s="919"/>
      <c r="R59" s="1932"/>
    </row>
    <row r="60" spans="1:18" ht="15.75">
      <c r="A60" s="882"/>
      <c r="B60" s="1261" t="s">
        <v>1208</v>
      </c>
      <c r="C60" s="1262" t="s">
        <v>1293</v>
      </c>
      <c r="D60" s="1262" t="s">
        <v>1290</v>
      </c>
      <c r="E60" s="1262" t="s">
        <v>1294</v>
      </c>
      <c r="F60" s="1258" t="s">
        <v>1257</v>
      </c>
      <c r="G60" s="894">
        <v>8</v>
      </c>
      <c r="H60" s="895">
        <v>12</v>
      </c>
      <c r="I60" s="896">
        <v>35</v>
      </c>
      <c r="J60" s="897">
        <v>70</v>
      </c>
      <c r="K60" s="894">
        <v>8</v>
      </c>
      <c r="L60" s="898">
        <v>22</v>
      </c>
      <c r="M60" s="871">
        <v>1080</v>
      </c>
      <c r="N60" s="885">
        <v>1120</v>
      </c>
      <c r="O60" s="883">
        <v>1018</v>
      </c>
      <c r="P60" s="885">
        <v>1030</v>
      </c>
      <c r="Q60" s="919"/>
      <c r="R60" s="1932"/>
    </row>
    <row r="61" spans="1:18" ht="15.75">
      <c r="A61" s="864" t="s">
        <v>1295</v>
      </c>
      <c r="B61" s="1257" t="s">
        <v>1199</v>
      </c>
      <c r="C61" s="1258" t="s">
        <v>1296</v>
      </c>
      <c r="D61" s="1258" t="s">
        <v>1206</v>
      </c>
      <c r="E61" s="1258" t="s">
        <v>1207</v>
      </c>
      <c r="F61" s="1260" t="s">
        <v>1203</v>
      </c>
      <c r="G61" s="899">
        <v>3.8</v>
      </c>
      <c r="H61" s="900">
        <v>5.5</v>
      </c>
      <c r="I61" s="901">
        <v>15</v>
      </c>
      <c r="J61" s="902">
        <v>28</v>
      </c>
      <c r="K61" s="899">
        <v>3</v>
      </c>
      <c r="L61" s="903">
        <v>6</v>
      </c>
      <c r="M61" s="880">
        <v>1038</v>
      </c>
      <c r="N61" s="872">
        <v>1054</v>
      </c>
      <c r="O61" s="865">
        <v>1008</v>
      </c>
      <c r="P61" s="872">
        <v>1013</v>
      </c>
      <c r="Q61" s="919"/>
      <c r="R61" s="1932"/>
    </row>
    <row r="62" spans="1:18" ht="15.75">
      <c r="A62" s="864"/>
      <c r="B62" s="1257" t="s">
        <v>1204</v>
      </c>
      <c r="C62" s="1258" t="s">
        <v>1297</v>
      </c>
      <c r="D62" s="1258" t="s">
        <v>1206</v>
      </c>
      <c r="E62" s="1258" t="s">
        <v>1298</v>
      </c>
      <c r="F62" s="1262" t="s">
        <v>1203</v>
      </c>
      <c r="G62" s="904">
        <v>4.5</v>
      </c>
      <c r="H62" s="905">
        <v>6.2</v>
      </c>
      <c r="I62" s="906">
        <v>30</v>
      </c>
      <c r="J62" s="907">
        <v>50</v>
      </c>
      <c r="K62" s="904">
        <v>5</v>
      </c>
      <c r="L62" s="908">
        <v>10</v>
      </c>
      <c r="M62" s="884">
        <v>1045</v>
      </c>
      <c r="N62" s="872">
        <v>1060</v>
      </c>
      <c r="O62" s="865">
        <v>1010</v>
      </c>
      <c r="P62" s="872">
        <v>1015</v>
      </c>
      <c r="Q62" s="919"/>
      <c r="R62" s="1932"/>
    </row>
    <row r="63" spans="1:18" ht="15.75">
      <c r="A63" s="878" t="s">
        <v>1299</v>
      </c>
      <c r="B63" s="1259" t="s">
        <v>1199</v>
      </c>
      <c r="C63" s="1260" t="s">
        <v>1300</v>
      </c>
      <c r="D63" s="1260" t="s">
        <v>1244</v>
      </c>
      <c r="E63" s="1260" t="s">
        <v>1298</v>
      </c>
      <c r="F63" s="1258" t="s">
        <v>1203</v>
      </c>
      <c r="G63" s="909">
        <v>4.5</v>
      </c>
      <c r="H63" s="910">
        <v>6.2</v>
      </c>
      <c r="I63" s="911">
        <v>25</v>
      </c>
      <c r="J63" s="912">
        <v>40</v>
      </c>
      <c r="K63" s="909">
        <v>10</v>
      </c>
      <c r="L63" s="913">
        <v>17</v>
      </c>
      <c r="M63" s="871">
        <v>1045</v>
      </c>
      <c r="N63" s="881">
        <v>1060</v>
      </c>
      <c r="O63" s="879">
        <v>1010</v>
      </c>
      <c r="P63" s="881">
        <v>1015</v>
      </c>
      <c r="Q63" s="919"/>
      <c r="R63" s="1932"/>
    </row>
    <row r="64" spans="1:18" ht="15.75">
      <c r="A64" s="864"/>
      <c r="B64" s="1257" t="s">
        <v>1204</v>
      </c>
      <c r="C64" s="1258" t="s">
        <v>1301</v>
      </c>
      <c r="D64" s="1258" t="s">
        <v>1215</v>
      </c>
      <c r="E64" s="1258" t="s">
        <v>1207</v>
      </c>
      <c r="F64" s="1258" t="s">
        <v>1203</v>
      </c>
      <c r="G64" s="873">
        <v>4.5</v>
      </c>
      <c r="H64" s="874">
        <v>5.5</v>
      </c>
      <c r="I64" s="875">
        <v>30</v>
      </c>
      <c r="J64" s="876">
        <v>45</v>
      </c>
      <c r="K64" s="873">
        <v>10</v>
      </c>
      <c r="L64" s="877">
        <v>14</v>
      </c>
      <c r="M64" s="871">
        <v>1048</v>
      </c>
      <c r="N64" s="872">
        <v>1054</v>
      </c>
      <c r="O64" s="865">
        <v>1011</v>
      </c>
      <c r="P64" s="872">
        <v>1014</v>
      </c>
      <c r="Q64" s="919"/>
      <c r="R64" s="1932"/>
    </row>
    <row r="65" spans="1:18" ht="15.75">
      <c r="A65" s="882"/>
      <c r="B65" s="1261" t="s">
        <v>25</v>
      </c>
      <c r="C65" s="1262" t="s">
        <v>1302</v>
      </c>
      <c r="D65" s="1262" t="s">
        <v>1269</v>
      </c>
      <c r="E65" s="1262" t="s">
        <v>1303</v>
      </c>
      <c r="F65" s="1258" t="s">
        <v>1203</v>
      </c>
      <c r="G65" s="894">
        <v>4.3</v>
      </c>
      <c r="H65" s="895">
        <v>6.2</v>
      </c>
      <c r="I65" s="896">
        <v>20</v>
      </c>
      <c r="J65" s="897">
        <v>30</v>
      </c>
      <c r="K65" s="894">
        <v>18</v>
      </c>
      <c r="L65" s="898">
        <v>35</v>
      </c>
      <c r="M65" s="871">
        <v>1045</v>
      </c>
      <c r="N65" s="885">
        <v>1060</v>
      </c>
      <c r="O65" s="883">
        <v>1010</v>
      </c>
      <c r="P65" s="885">
        <v>1016</v>
      </c>
      <c r="Q65" s="919"/>
      <c r="R65" s="1932"/>
    </row>
    <row r="66" spans="1:18" ht="15.75">
      <c r="A66" s="864" t="s">
        <v>1304</v>
      </c>
      <c r="B66" s="1257" t="s">
        <v>1199</v>
      </c>
      <c r="C66" s="1258" t="s">
        <v>1305</v>
      </c>
      <c r="D66" s="1258" t="s">
        <v>934</v>
      </c>
      <c r="E66" s="1258" t="s">
        <v>1303</v>
      </c>
      <c r="F66" s="1260" t="s">
        <v>1203</v>
      </c>
      <c r="G66" s="899">
        <v>4.8</v>
      </c>
      <c r="H66" s="900">
        <v>6.5</v>
      </c>
      <c r="I66" s="901">
        <v>25</v>
      </c>
      <c r="J66" s="902">
        <v>50</v>
      </c>
      <c r="K66" s="899">
        <v>22</v>
      </c>
      <c r="L66" s="903">
        <v>40</v>
      </c>
      <c r="M66" s="880">
        <v>1050</v>
      </c>
      <c r="N66" s="872">
        <v>1070</v>
      </c>
      <c r="O66" s="865">
        <v>1012</v>
      </c>
      <c r="P66" s="872">
        <v>1018</v>
      </c>
      <c r="Q66" s="919"/>
      <c r="R66" s="1932"/>
    </row>
    <row r="67" spans="1:18" ht="15.75">
      <c r="A67" s="864"/>
      <c r="B67" s="1257" t="s">
        <v>1204</v>
      </c>
      <c r="C67" s="1258" t="s">
        <v>1306</v>
      </c>
      <c r="D67" s="1258" t="s">
        <v>1281</v>
      </c>
      <c r="E67" s="1258" t="s">
        <v>1303</v>
      </c>
      <c r="F67" s="1258" t="s">
        <v>1203</v>
      </c>
      <c r="G67" s="873">
        <v>5</v>
      </c>
      <c r="H67" s="874">
        <v>7</v>
      </c>
      <c r="I67" s="875">
        <v>35</v>
      </c>
      <c r="J67" s="876">
        <v>75</v>
      </c>
      <c r="K67" s="873">
        <v>30</v>
      </c>
      <c r="L67" s="877">
        <v>40</v>
      </c>
      <c r="M67" s="871">
        <v>1050</v>
      </c>
      <c r="N67" s="872">
        <v>1075</v>
      </c>
      <c r="O67" s="865">
        <v>1010</v>
      </c>
      <c r="P67" s="872">
        <v>1022</v>
      </c>
      <c r="Q67" s="919"/>
      <c r="R67" s="1932"/>
    </row>
    <row r="68" spans="1:18" ht="15.75">
      <c r="A68" s="864"/>
      <c r="B68" s="1257" t="s">
        <v>25</v>
      </c>
      <c r="C68" s="1258" t="s">
        <v>923</v>
      </c>
      <c r="D68" s="1258" t="s">
        <v>1281</v>
      </c>
      <c r="E68" s="1258" t="s">
        <v>1284</v>
      </c>
      <c r="F68" s="1262" t="s">
        <v>1257</v>
      </c>
      <c r="G68" s="904">
        <v>8</v>
      </c>
      <c r="H68" s="905">
        <v>12</v>
      </c>
      <c r="I68" s="906">
        <v>50</v>
      </c>
      <c r="J68" s="907">
        <v>90</v>
      </c>
      <c r="K68" s="904">
        <v>30</v>
      </c>
      <c r="L68" s="908">
        <v>40</v>
      </c>
      <c r="M68" s="884">
        <v>1075</v>
      </c>
      <c r="N68" s="872">
        <v>1115</v>
      </c>
      <c r="O68" s="865">
        <v>1018</v>
      </c>
      <c r="P68" s="872">
        <v>1030</v>
      </c>
      <c r="Q68" s="919"/>
      <c r="R68" s="1932"/>
    </row>
    <row r="69" spans="1:18" ht="15.75">
      <c r="A69" s="878" t="s">
        <v>1307</v>
      </c>
      <c r="B69" s="1259" t="s">
        <v>1199</v>
      </c>
      <c r="C69" s="1260" t="s">
        <v>1308</v>
      </c>
      <c r="D69" s="1260" t="s">
        <v>1266</v>
      </c>
      <c r="E69" s="1260" t="s">
        <v>1298</v>
      </c>
      <c r="F69" s="1258" t="s">
        <v>1203</v>
      </c>
      <c r="G69" s="909">
        <v>5.5</v>
      </c>
      <c r="H69" s="910">
        <v>7.5</v>
      </c>
      <c r="I69" s="911">
        <v>40</v>
      </c>
      <c r="J69" s="912">
        <v>70</v>
      </c>
      <c r="K69" s="909">
        <v>6</v>
      </c>
      <c r="L69" s="913">
        <v>14</v>
      </c>
      <c r="M69" s="871">
        <v>1056</v>
      </c>
      <c r="N69" s="881">
        <v>1070</v>
      </c>
      <c r="O69" s="879">
        <v>1008</v>
      </c>
      <c r="P69" s="881">
        <v>1014</v>
      </c>
      <c r="Q69" s="919"/>
      <c r="R69" s="1932"/>
    </row>
    <row r="70" spans="1:18" ht="15.75">
      <c r="A70" s="864"/>
      <c r="B70" s="1257" t="s">
        <v>1204</v>
      </c>
      <c r="C70" s="1265" t="s">
        <v>1309</v>
      </c>
      <c r="D70" s="1258" t="s">
        <v>1266</v>
      </c>
      <c r="E70" s="1258" t="s">
        <v>1310</v>
      </c>
      <c r="F70" s="1258" t="s">
        <v>1203</v>
      </c>
      <c r="G70" s="873">
        <v>6.2</v>
      </c>
      <c r="H70" s="874">
        <v>9.5</v>
      </c>
      <c r="I70" s="875">
        <v>50</v>
      </c>
      <c r="J70" s="876">
        <v>100</v>
      </c>
      <c r="K70" s="873">
        <v>5</v>
      </c>
      <c r="L70" s="877">
        <v>15</v>
      </c>
      <c r="M70" s="871">
        <v>1058</v>
      </c>
      <c r="N70" s="872">
        <v>1080</v>
      </c>
      <c r="O70" s="865">
        <v>1008</v>
      </c>
      <c r="P70" s="872">
        <v>1016</v>
      </c>
      <c r="Q70" s="919"/>
      <c r="R70" s="1932"/>
    </row>
    <row r="71" spans="1:18" ht="15.75">
      <c r="A71" s="864"/>
      <c r="B71" s="1257" t="s">
        <v>1204</v>
      </c>
      <c r="C71" s="1265" t="s">
        <v>1311</v>
      </c>
      <c r="D71" s="1258" t="s">
        <v>1266</v>
      </c>
      <c r="E71" s="1258" t="s">
        <v>1310</v>
      </c>
      <c r="F71" s="1258" t="s">
        <v>1203</v>
      </c>
      <c r="G71" s="873">
        <v>5.5</v>
      </c>
      <c r="H71" s="874">
        <v>9</v>
      </c>
      <c r="I71" s="875">
        <v>50</v>
      </c>
      <c r="J71" s="876">
        <v>90</v>
      </c>
      <c r="K71" s="873">
        <v>25</v>
      </c>
      <c r="L71" s="877">
        <v>40</v>
      </c>
      <c r="M71" s="871">
        <v>1050</v>
      </c>
      <c r="N71" s="872">
        <v>1085</v>
      </c>
      <c r="O71" s="865">
        <v>1010</v>
      </c>
      <c r="P71" s="872">
        <v>1018</v>
      </c>
      <c r="Q71" s="919"/>
      <c r="R71" s="1932"/>
    </row>
    <row r="72" spans="1:18" ht="15.75">
      <c r="A72" s="864"/>
      <c r="B72" s="1257" t="s">
        <v>1204</v>
      </c>
      <c r="C72" s="1265" t="s">
        <v>1312</v>
      </c>
      <c r="D72" s="1258" t="s">
        <v>1266</v>
      </c>
      <c r="E72" s="1258" t="s">
        <v>1310</v>
      </c>
      <c r="F72" s="1258" t="s">
        <v>1203</v>
      </c>
      <c r="G72" s="873">
        <v>5.5</v>
      </c>
      <c r="H72" s="874">
        <v>7.5</v>
      </c>
      <c r="I72" s="875">
        <v>40</v>
      </c>
      <c r="J72" s="876">
        <v>70</v>
      </c>
      <c r="K72" s="873">
        <v>11</v>
      </c>
      <c r="L72" s="877">
        <v>19</v>
      </c>
      <c r="M72" s="871">
        <v>1056</v>
      </c>
      <c r="N72" s="872">
        <v>1070</v>
      </c>
      <c r="O72" s="865">
        <v>1008</v>
      </c>
      <c r="P72" s="872">
        <v>1016</v>
      </c>
      <c r="Q72" s="919"/>
      <c r="R72" s="1932"/>
    </row>
    <row r="73" spans="1:18" ht="15.75">
      <c r="A73" s="864"/>
      <c r="B73" s="1257" t="s">
        <v>1204</v>
      </c>
      <c r="C73" s="1265" t="s">
        <v>1313</v>
      </c>
      <c r="D73" s="1258" t="s">
        <v>1266</v>
      </c>
      <c r="E73" s="1258" t="s">
        <v>1310</v>
      </c>
      <c r="F73" s="1258" t="s">
        <v>1203</v>
      </c>
      <c r="G73" s="873">
        <v>5.5</v>
      </c>
      <c r="H73" s="874">
        <v>7.5</v>
      </c>
      <c r="I73" s="875">
        <v>40</v>
      </c>
      <c r="J73" s="876">
        <v>70</v>
      </c>
      <c r="K73" s="873">
        <v>11</v>
      </c>
      <c r="L73" s="877">
        <v>19</v>
      </c>
      <c r="M73" s="871">
        <v>1056</v>
      </c>
      <c r="N73" s="872">
        <v>1070</v>
      </c>
      <c r="O73" s="865">
        <v>1008</v>
      </c>
      <c r="P73" s="872">
        <v>1016</v>
      </c>
      <c r="Q73" s="919"/>
      <c r="R73" s="1932"/>
    </row>
    <row r="74" spans="1:18" ht="15.75">
      <c r="A74" s="864"/>
      <c r="B74" s="1257" t="s">
        <v>1204</v>
      </c>
      <c r="C74" s="1265" t="s">
        <v>1314</v>
      </c>
      <c r="D74" s="1258" t="s">
        <v>1266</v>
      </c>
      <c r="E74" s="1258" t="s">
        <v>1310</v>
      </c>
      <c r="F74" s="1258" t="s">
        <v>1203</v>
      </c>
      <c r="G74" s="873">
        <v>5.5</v>
      </c>
      <c r="H74" s="874">
        <v>8</v>
      </c>
      <c r="I74" s="875">
        <v>50</v>
      </c>
      <c r="J74" s="876">
        <v>75</v>
      </c>
      <c r="K74" s="873">
        <v>6</v>
      </c>
      <c r="L74" s="877">
        <v>14</v>
      </c>
      <c r="M74" s="871">
        <v>1056</v>
      </c>
      <c r="N74" s="872">
        <v>1075</v>
      </c>
      <c r="O74" s="865">
        <v>1008</v>
      </c>
      <c r="P74" s="872">
        <v>1014</v>
      </c>
      <c r="Q74" s="919"/>
      <c r="R74" s="1932"/>
    </row>
    <row r="75" spans="1:18" ht="15.75">
      <c r="A75" s="882"/>
      <c r="B75" s="1261" t="s">
        <v>1204</v>
      </c>
      <c r="C75" s="1266" t="s">
        <v>1315</v>
      </c>
      <c r="D75" s="1262" t="s">
        <v>1266</v>
      </c>
      <c r="E75" s="1262" t="s">
        <v>1310</v>
      </c>
      <c r="F75" s="1258" t="s">
        <v>1203</v>
      </c>
      <c r="G75" s="894">
        <v>5.5</v>
      </c>
      <c r="H75" s="895">
        <v>7</v>
      </c>
      <c r="I75" s="896">
        <v>40</v>
      </c>
      <c r="J75" s="897">
        <v>70</v>
      </c>
      <c r="K75" s="894">
        <v>5</v>
      </c>
      <c r="L75" s="898">
        <v>8</v>
      </c>
      <c r="M75" s="884">
        <v>1056</v>
      </c>
      <c r="N75" s="885">
        <v>1065</v>
      </c>
      <c r="O75" s="883">
        <v>1010</v>
      </c>
      <c r="P75" s="885">
        <v>1016</v>
      </c>
      <c r="Q75" s="919"/>
      <c r="R75" s="1932"/>
    </row>
    <row r="76" spans="1:18" ht="15.75">
      <c r="A76" s="864" t="s">
        <v>1316</v>
      </c>
      <c r="B76" s="1257" t="s">
        <v>1199</v>
      </c>
      <c r="C76" s="1258" t="s">
        <v>1317</v>
      </c>
      <c r="D76" s="1258" t="s">
        <v>1266</v>
      </c>
      <c r="E76" s="1258" t="s">
        <v>1310</v>
      </c>
      <c r="F76" s="1260" t="s">
        <v>1203</v>
      </c>
      <c r="G76" s="899">
        <v>7.5</v>
      </c>
      <c r="H76" s="900">
        <v>10</v>
      </c>
      <c r="I76" s="901">
        <v>60</v>
      </c>
      <c r="J76" s="902">
        <v>120</v>
      </c>
      <c r="K76" s="899">
        <v>6</v>
      </c>
      <c r="L76" s="903">
        <v>14</v>
      </c>
      <c r="M76" s="871">
        <v>1065</v>
      </c>
      <c r="N76" s="872">
        <v>1085</v>
      </c>
      <c r="O76" s="865">
        <v>1008</v>
      </c>
      <c r="P76" s="872">
        <v>1018</v>
      </c>
      <c r="Q76" s="919"/>
      <c r="R76" s="1932"/>
    </row>
    <row r="77" spans="1:18" ht="15.75">
      <c r="A77" s="864"/>
      <c r="B77" s="1257" t="s">
        <v>1204</v>
      </c>
      <c r="C77" s="1258" t="s">
        <v>1318</v>
      </c>
      <c r="D77" s="1258" t="s">
        <v>1290</v>
      </c>
      <c r="E77" s="1258" t="s">
        <v>1290</v>
      </c>
      <c r="F77" s="1258" t="s">
        <v>1203</v>
      </c>
      <c r="G77" s="873">
        <v>6.3</v>
      </c>
      <c r="H77" s="874">
        <v>10</v>
      </c>
      <c r="I77" s="875">
        <v>50</v>
      </c>
      <c r="J77" s="876">
        <v>100</v>
      </c>
      <c r="K77" s="873">
        <v>7</v>
      </c>
      <c r="L77" s="877">
        <v>19</v>
      </c>
      <c r="M77" s="871">
        <v>1062</v>
      </c>
      <c r="N77" s="872">
        <v>1090</v>
      </c>
      <c r="O77" s="865">
        <v>1014</v>
      </c>
      <c r="P77" s="872">
        <v>1024</v>
      </c>
      <c r="Q77" s="919"/>
      <c r="R77" s="1932"/>
    </row>
    <row r="78" spans="1:18" ht="15.75">
      <c r="A78" s="864"/>
      <c r="B78" s="1257" t="s">
        <v>25</v>
      </c>
      <c r="C78" s="1258" t="s">
        <v>1319</v>
      </c>
      <c r="D78" s="1258" t="s">
        <v>1290</v>
      </c>
      <c r="E78" s="1258" t="s">
        <v>1294</v>
      </c>
      <c r="F78" s="1258" t="s">
        <v>1203</v>
      </c>
      <c r="G78" s="873">
        <v>8</v>
      </c>
      <c r="H78" s="874">
        <v>12</v>
      </c>
      <c r="I78" s="875">
        <v>50</v>
      </c>
      <c r="J78" s="876">
        <v>100</v>
      </c>
      <c r="K78" s="873">
        <v>10</v>
      </c>
      <c r="L78" s="877">
        <v>19</v>
      </c>
      <c r="M78" s="871">
        <v>1080</v>
      </c>
      <c r="N78" s="872">
        <v>1120</v>
      </c>
      <c r="O78" s="865">
        <v>1016</v>
      </c>
      <c r="P78" s="872">
        <v>1030</v>
      </c>
      <c r="Q78" s="919"/>
      <c r="R78" s="1932"/>
    </row>
    <row r="79" spans="1:18" ht="15.75">
      <c r="A79" s="864"/>
      <c r="B79" s="1257" t="s">
        <v>1208</v>
      </c>
      <c r="C79" s="1258" t="s">
        <v>1320</v>
      </c>
      <c r="D79" s="1258" t="s">
        <v>1290</v>
      </c>
      <c r="E79" s="1258" t="s">
        <v>1294</v>
      </c>
      <c r="F79" s="1262" t="s">
        <v>1203</v>
      </c>
      <c r="G79" s="904">
        <v>8</v>
      </c>
      <c r="H79" s="905">
        <v>12</v>
      </c>
      <c r="I79" s="906">
        <v>30</v>
      </c>
      <c r="J79" s="907">
        <v>60</v>
      </c>
      <c r="K79" s="904">
        <v>8</v>
      </c>
      <c r="L79" s="908">
        <v>15</v>
      </c>
      <c r="M79" s="871">
        <v>1080</v>
      </c>
      <c r="N79" s="872">
        <v>1120</v>
      </c>
      <c r="O79" s="865">
        <v>1016</v>
      </c>
      <c r="P79" s="872">
        <v>1030</v>
      </c>
      <c r="Q79" s="919"/>
      <c r="R79" s="1932"/>
    </row>
    <row r="80" spans="1:18" ht="15.75">
      <c r="A80" s="878" t="s">
        <v>1321</v>
      </c>
      <c r="B80" s="1259" t="s">
        <v>1199</v>
      </c>
      <c r="C80" s="1260" t="s">
        <v>1322</v>
      </c>
      <c r="D80" s="1260" t="s">
        <v>1210</v>
      </c>
      <c r="E80" s="1260" t="s">
        <v>1323</v>
      </c>
      <c r="F80" s="1258" t="s">
        <v>1228</v>
      </c>
      <c r="G80" s="909">
        <v>2.8</v>
      </c>
      <c r="H80" s="910">
        <v>3.8</v>
      </c>
      <c r="I80" s="911">
        <v>3</v>
      </c>
      <c r="J80" s="912">
        <v>8</v>
      </c>
      <c r="K80" s="909">
        <v>2</v>
      </c>
      <c r="L80" s="913">
        <v>3</v>
      </c>
      <c r="M80" s="880">
        <v>1028</v>
      </c>
      <c r="N80" s="881">
        <v>1032</v>
      </c>
      <c r="O80" s="879">
        <v>1003</v>
      </c>
      <c r="P80" s="881">
        <v>1006</v>
      </c>
      <c r="Q80" s="919"/>
      <c r="R80" s="1932"/>
    </row>
    <row r="81" spans="1:18" ht="15.75">
      <c r="A81" s="864"/>
      <c r="B81" s="1257" t="s">
        <v>1204</v>
      </c>
      <c r="C81" s="1258" t="s">
        <v>1324</v>
      </c>
      <c r="D81" s="1258" t="s">
        <v>1325</v>
      </c>
      <c r="E81" s="1258" t="s">
        <v>1326</v>
      </c>
      <c r="F81" s="1258" t="s">
        <v>1327</v>
      </c>
      <c r="G81" s="873">
        <v>4.5999999999999996</v>
      </c>
      <c r="H81" s="874">
        <v>6.5</v>
      </c>
      <c r="I81" s="875">
        <v>10</v>
      </c>
      <c r="J81" s="876">
        <v>25</v>
      </c>
      <c r="K81" s="873">
        <v>10</v>
      </c>
      <c r="L81" s="877">
        <v>16</v>
      </c>
      <c r="M81" s="871">
        <v>1048</v>
      </c>
      <c r="N81" s="872">
        <v>1057</v>
      </c>
      <c r="O81" s="865">
        <v>1002</v>
      </c>
      <c r="P81" s="872">
        <v>1012</v>
      </c>
      <c r="Q81" s="919"/>
      <c r="R81" s="1932"/>
    </row>
    <row r="82" spans="1:18" ht="15.75">
      <c r="A82" s="864"/>
      <c r="B82" s="1257" t="s">
        <v>25</v>
      </c>
      <c r="C82" s="1258" t="s">
        <v>933</v>
      </c>
      <c r="D82" s="1258" t="s">
        <v>1325</v>
      </c>
      <c r="E82" s="1258" t="s">
        <v>1326</v>
      </c>
      <c r="F82" s="1258" t="s">
        <v>1327</v>
      </c>
      <c r="G82" s="873">
        <v>4</v>
      </c>
      <c r="H82" s="874">
        <v>8</v>
      </c>
      <c r="I82" s="875">
        <v>20</v>
      </c>
      <c r="J82" s="876">
        <v>25</v>
      </c>
      <c r="K82" s="873">
        <v>15</v>
      </c>
      <c r="L82" s="877">
        <v>22</v>
      </c>
      <c r="M82" s="871">
        <v>1040</v>
      </c>
      <c r="N82" s="872">
        <v>1074</v>
      </c>
      <c r="O82" s="865">
        <v>1008</v>
      </c>
      <c r="P82" s="872">
        <v>1012</v>
      </c>
      <c r="Q82" s="919"/>
      <c r="R82" s="1932"/>
    </row>
    <row r="83" spans="1:18" ht="15.75">
      <c r="A83" s="864"/>
      <c r="B83" s="1257" t="s">
        <v>1208</v>
      </c>
      <c r="C83" s="1258" t="s">
        <v>1328</v>
      </c>
      <c r="D83" s="1258" t="s">
        <v>1210</v>
      </c>
      <c r="E83" s="1258" t="s">
        <v>1326</v>
      </c>
      <c r="F83" s="1258" t="s">
        <v>1327</v>
      </c>
      <c r="G83" s="873">
        <v>5</v>
      </c>
      <c r="H83" s="874">
        <v>6.5</v>
      </c>
      <c r="I83" s="875">
        <v>0</v>
      </c>
      <c r="J83" s="876">
        <v>10</v>
      </c>
      <c r="K83" s="873">
        <v>3</v>
      </c>
      <c r="L83" s="877">
        <v>7</v>
      </c>
      <c r="M83" s="871">
        <v>1040</v>
      </c>
      <c r="N83" s="872">
        <v>1054</v>
      </c>
      <c r="O83" s="865">
        <v>1001</v>
      </c>
      <c r="P83" s="872">
        <v>1010</v>
      </c>
      <c r="Q83" s="919"/>
      <c r="R83" s="1932"/>
    </row>
    <row r="84" spans="1:18" ht="15.75">
      <c r="A84" s="864"/>
      <c r="B84" s="1257" t="s">
        <v>1329</v>
      </c>
      <c r="C84" s="1258" t="s">
        <v>1330</v>
      </c>
      <c r="D84" s="1258" t="s">
        <v>1210</v>
      </c>
      <c r="E84" s="1258" t="s">
        <v>1326</v>
      </c>
      <c r="F84" s="1258" t="s">
        <v>1327</v>
      </c>
      <c r="G84" s="873">
        <v>5</v>
      </c>
      <c r="H84" s="874">
        <v>8</v>
      </c>
      <c r="I84" s="875">
        <v>0</v>
      </c>
      <c r="J84" s="876">
        <v>10</v>
      </c>
      <c r="K84" s="873">
        <v>3</v>
      </c>
      <c r="L84" s="877">
        <v>7</v>
      </c>
      <c r="M84" s="871">
        <v>1040</v>
      </c>
      <c r="N84" s="872">
        <v>1060</v>
      </c>
      <c r="O84" s="865">
        <v>1000</v>
      </c>
      <c r="P84" s="872">
        <v>1006</v>
      </c>
      <c r="Q84" s="919"/>
      <c r="R84" s="1932"/>
    </row>
    <row r="85" spans="1:18" ht="15.75">
      <c r="A85" s="882"/>
      <c r="B85" s="1261" t="s">
        <v>916</v>
      </c>
      <c r="C85" s="1262" t="s">
        <v>1331</v>
      </c>
      <c r="D85" s="1262" t="s">
        <v>1210</v>
      </c>
      <c r="E85" s="1262" t="s">
        <v>1326</v>
      </c>
      <c r="F85" s="1258" t="s">
        <v>1327</v>
      </c>
      <c r="G85" s="894">
        <v>5</v>
      </c>
      <c r="H85" s="895">
        <v>7</v>
      </c>
      <c r="I85" s="896">
        <v>0</v>
      </c>
      <c r="J85" s="897">
        <v>10</v>
      </c>
      <c r="K85" s="894">
        <v>3</v>
      </c>
      <c r="L85" s="898">
        <v>7</v>
      </c>
      <c r="M85" s="871">
        <v>1040</v>
      </c>
      <c r="N85" s="885">
        <v>1060</v>
      </c>
      <c r="O85" s="883">
        <v>1000</v>
      </c>
      <c r="P85" s="885">
        <v>1010</v>
      </c>
      <c r="Q85" s="919"/>
      <c r="R85" s="1932"/>
    </row>
    <row r="86" spans="1:18" ht="15.75">
      <c r="A86" s="864" t="s">
        <v>1332</v>
      </c>
      <c r="B86" s="1257" t="s">
        <v>1199</v>
      </c>
      <c r="C86" s="1258" t="s">
        <v>1333</v>
      </c>
      <c r="D86" s="1258" t="s">
        <v>1210</v>
      </c>
      <c r="E86" s="1258" t="s">
        <v>1210</v>
      </c>
      <c r="F86" s="1260" t="s">
        <v>1327</v>
      </c>
      <c r="G86" s="899">
        <v>4.5</v>
      </c>
      <c r="H86" s="900">
        <v>5.5</v>
      </c>
      <c r="I86" s="901">
        <v>8</v>
      </c>
      <c r="J86" s="902">
        <v>20</v>
      </c>
      <c r="K86" s="899">
        <v>2</v>
      </c>
      <c r="L86" s="903">
        <v>4</v>
      </c>
      <c r="M86" s="880">
        <v>1044</v>
      </c>
      <c r="N86" s="872">
        <v>1052</v>
      </c>
      <c r="O86" s="865">
        <v>1008</v>
      </c>
      <c r="P86" s="872">
        <v>1012</v>
      </c>
      <c r="Q86" s="919"/>
      <c r="R86" s="1932"/>
    </row>
    <row r="87" spans="1:18" ht="15.75">
      <c r="A87" s="864"/>
      <c r="B87" s="1257" t="s">
        <v>1204</v>
      </c>
      <c r="C87" s="1258" t="s">
        <v>1334</v>
      </c>
      <c r="D87" s="1258" t="s">
        <v>1206</v>
      </c>
      <c r="E87" s="1258" t="s">
        <v>1262</v>
      </c>
      <c r="F87" s="1258" t="s">
        <v>1327</v>
      </c>
      <c r="G87" s="873">
        <v>4.8</v>
      </c>
      <c r="H87" s="874">
        <v>5.5</v>
      </c>
      <c r="I87" s="875">
        <v>20</v>
      </c>
      <c r="J87" s="876">
        <v>30</v>
      </c>
      <c r="K87" s="873">
        <v>8</v>
      </c>
      <c r="L87" s="877">
        <v>14</v>
      </c>
      <c r="M87" s="871">
        <v>1048</v>
      </c>
      <c r="N87" s="872">
        <v>1054</v>
      </c>
      <c r="O87" s="865">
        <v>1010</v>
      </c>
      <c r="P87" s="872">
        <v>1014</v>
      </c>
      <c r="Q87" s="919"/>
      <c r="R87" s="1932"/>
    </row>
    <row r="88" spans="1:18" ht="15.75">
      <c r="A88" s="864"/>
      <c r="B88" s="1257" t="s">
        <v>25</v>
      </c>
      <c r="C88" s="1258" t="s">
        <v>1335</v>
      </c>
      <c r="D88" s="1258" t="s">
        <v>1244</v>
      </c>
      <c r="E88" s="1258" t="s">
        <v>1336</v>
      </c>
      <c r="F88" s="1262" t="s">
        <v>1016</v>
      </c>
      <c r="G88" s="904">
        <v>6</v>
      </c>
      <c r="H88" s="905">
        <v>8.5</v>
      </c>
      <c r="I88" s="906">
        <v>18</v>
      </c>
      <c r="J88" s="907">
        <v>28</v>
      </c>
      <c r="K88" s="904">
        <v>6</v>
      </c>
      <c r="L88" s="908">
        <v>19</v>
      </c>
      <c r="M88" s="884">
        <v>1060</v>
      </c>
      <c r="N88" s="872">
        <v>1080</v>
      </c>
      <c r="O88" s="865">
        <v>1008</v>
      </c>
      <c r="P88" s="872">
        <v>1016</v>
      </c>
      <c r="Q88" s="919"/>
      <c r="R88" s="1932"/>
    </row>
    <row r="89" spans="1:18" ht="15.75">
      <c r="A89" s="878" t="s">
        <v>1337</v>
      </c>
      <c r="B89" s="1259" t="s">
        <v>1199</v>
      </c>
      <c r="C89" s="1260" t="s">
        <v>1338</v>
      </c>
      <c r="D89" s="1260" t="s">
        <v>1206</v>
      </c>
      <c r="E89" s="1260" t="s">
        <v>1339</v>
      </c>
      <c r="F89" s="1258" t="s">
        <v>1327</v>
      </c>
      <c r="G89" s="909">
        <v>6</v>
      </c>
      <c r="H89" s="910">
        <v>7.5</v>
      </c>
      <c r="I89" s="911">
        <v>15</v>
      </c>
      <c r="J89" s="912">
        <v>30</v>
      </c>
      <c r="K89" s="909">
        <v>4</v>
      </c>
      <c r="L89" s="913">
        <v>7</v>
      </c>
      <c r="M89" s="871">
        <v>1062</v>
      </c>
      <c r="N89" s="881">
        <v>1075</v>
      </c>
      <c r="O89" s="879">
        <v>1008</v>
      </c>
      <c r="P89" s="881">
        <v>1018</v>
      </c>
      <c r="Q89" s="919"/>
      <c r="R89" s="1932"/>
    </row>
    <row r="90" spans="1:18" ht="15.75">
      <c r="A90" s="864"/>
      <c r="B90" s="1257" t="s">
        <v>1204</v>
      </c>
      <c r="C90" s="1258" t="s">
        <v>1340</v>
      </c>
      <c r="D90" s="1258" t="s">
        <v>1206</v>
      </c>
      <c r="E90" s="1258" t="s">
        <v>1336</v>
      </c>
      <c r="F90" s="1258" t="s">
        <v>1327</v>
      </c>
      <c r="G90" s="873">
        <v>3.5</v>
      </c>
      <c r="H90" s="874">
        <v>9.5</v>
      </c>
      <c r="I90" s="875">
        <v>20</v>
      </c>
      <c r="J90" s="876">
        <v>35</v>
      </c>
      <c r="K90" s="873">
        <v>5</v>
      </c>
      <c r="L90" s="877">
        <v>22</v>
      </c>
      <c r="M90" s="871">
        <v>1048</v>
      </c>
      <c r="N90" s="872">
        <v>1065</v>
      </c>
      <c r="O90" s="865">
        <v>1002</v>
      </c>
      <c r="P90" s="872">
        <v>1008</v>
      </c>
      <c r="Q90" s="919"/>
      <c r="R90" s="1932"/>
    </row>
    <row r="91" spans="1:18" ht="15.75">
      <c r="A91" s="882"/>
      <c r="B91" s="1261" t="s">
        <v>25</v>
      </c>
      <c r="C91" s="1262" t="s">
        <v>1341</v>
      </c>
      <c r="D91" s="1262" t="s">
        <v>1290</v>
      </c>
      <c r="E91" s="1262" t="s">
        <v>1342</v>
      </c>
      <c r="F91" s="1258" t="s">
        <v>1327</v>
      </c>
      <c r="G91" s="894">
        <v>7.5</v>
      </c>
      <c r="H91" s="895">
        <v>10.5</v>
      </c>
      <c r="I91" s="896">
        <v>22</v>
      </c>
      <c r="J91" s="897">
        <v>35</v>
      </c>
      <c r="K91" s="894">
        <v>3</v>
      </c>
      <c r="L91" s="898">
        <v>6</v>
      </c>
      <c r="M91" s="871">
        <v>1070</v>
      </c>
      <c r="N91" s="885">
        <v>1095</v>
      </c>
      <c r="O91" s="883">
        <v>1005</v>
      </c>
      <c r="P91" s="885">
        <v>1016</v>
      </c>
      <c r="Q91" s="919"/>
      <c r="R91" s="1932"/>
    </row>
    <row r="92" spans="1:18" ht="15.75">
      <c r="A92" s="864" t="s">
        <v>1343</v>
      </c>
      <c r="B92" s="1257" t="s">
        <v>1199</v>
      </c>
      <c r="C92" s="1258" t="s">
        <v>1344</v>
      </c>
      <c r="D92" s="1258" t="s">
        <v>1206</v>
      </c>
      <c r="E92" s="1258" t="s">
        <v>1339</v>
      </c>
      <c r="F92" s="1260" t="s">
        <v>1327</v>
      </c>
      <c r="G92" s="899">
        <v>4.8</v>
      </c>
      <c r="H92" s="900">
        <v>6</v>
      </c>
      <c r="I92" s="901">
        <v>25</v>
      </c>
      <c r="J92" s="902">
        <v>45</v>
      </c>
      <c r="K92" s="899">
        <v>3</v>
      </c>
      <c r="L92" s="903">
        <v>5</v>
      </c>
      <c r="M92" s="880">
        <v>1044</v>
      </c>
      <c r="N92" s="872">
        <v>1054</v>
      </c>
      <c r="O92" s="865">
        <v>1004</v>
      </c>
      <c r="P92" s="872">
        <v>1010</v>
      </c>
      <c r="Q92" s="919"/>
      <c r="R92" s="1932"/>
    </row>
    <row r="93" spans="1:18" ht="15.75">
      <c r="A93" s="864"/>
      <c r="B93" s="1257" t="s">
        <v>1204</v>
      </c>
      <c r="C93" s="1258" t="s">
        <v>892</v>
      </c>
      <c r="D93" s="1258" t="s">
        <v>1244</v>
      </c>
      <c r="E93" s="1258" t="s">
        <v>1339</v>
      </c>
      <c r="F93" s="1258" t="s">
        <v>1327</v>
      </c>
      <c r="G93" s="873">
        <v>6</v>
      </c>
      <c r="H93" s="874">
        <v>7.6</v>
      </c>
      <c r="I93" s="875">
        <v>15</v>
      </c>
      <c r="J93" s="876">
        <v>25</v>
      </c>
      <c r="K93" s="873">
        <v>10</v>
      </c>
      <c r="L93" s="877">
        <v>17</v>
      </c>
      <c r="M93" s="871">
        <v>1062</v>
      </c>
      <c r="N93" s="872">
        <v>1075</v>
      </c>
      <c r="O93" s="865">
        <v>1008</v>
      </c>
      <c r="P93" s="872">
        <v>1018</v>
      </c>
      <c r="Q93" s="919"/>
      <c r="R93" s="1932"/>
    </row>
    <row r="94" spans="1:18" ht="15.75">
      <c r="A94" s="864"/>
      <c r="B94" s="1257" t="s">
        <v>25</v>
      </c>
      <c r="C94" s="1258" t="s">
        <v>1345</v>
      </c>
      <c r="D94" s="1258" t="s">
        <v>1290</v>
      </c>
      <c r="E94" s="1258" t="s">
        <v>1342</v>
      </c>
      <c r="F94" s="1258" t="s">
        <v>1327</v>
      </c>
      <c r="G94" s="873">
        <v>7.5</v>
      </c>
      <c r="H94" s="874">
        <v>9.5</v>
      </c>
      <c r="I94" s="875">
        <v>20</v>
      </c>
      <c r="J94" s="876">
        <v>40</v>
      </c>
      <c r="K94" s="873">
        <v>4.5</v>
      </c>
      <c r="L94" s="877">
        <v>7</v>
      </c>
      <c r="M94" s="871">
        <v>1075</v>
      </c>
      <c r="N94" s="872">
        <v>1085</v>
      </c>
      <c r="O94" s="865">
        <v>1008</v>
      </c>
      <c r="P94" s="872">
        <v>1014</v>
      </c>
      <c r="Q94" s="919"/>
      <c r="R94" s="1932"/>
    </row>
    <row r="95" spans="1:18" ht="15.75">
      <c r="A95" s="864"/>
      <c r="B95" s="1257" t="s">
        <v>1208</v>
      </c>
      <c r="C95" s="1258" t="s">
        <v>1346</v>
      </c>
      <c r="D95" s="1258" t="s">
        <v>1290</v>
      </c>
      <c r="E95" s="1258" t="s">
        <v>1342</v>
      </c>
      <c r="F95" s="1262" t="s">
        <v>1327</v>
      </c>
      <c r="G95" s="904">
        <v>8</v>
      </c>
      <c r="H95" s="905">
        <v>12</v>
      </c>
      <c r="I95" s="906">
        <v>20</v>
      </c>
      <c r="J95" s="907">
        <v>35</v>
      </c>
      <c r="K95" s="904">
        <v>12</v>
      </c>
      <c r="L95" s="908">
        <v>22</v>
      </c>
      <c r="M95" s="884">
        <v>1075</v>
      </c>
      <c r="N95" s="872">
        <v>1110</v>
      </c>
      <c r="O95" s="865">
        <v>1010</v>
      </c>
      <c r="P95" s="872">
        <v>1024</v>
      </c>
      <c r="Q95" s="919"/>
      <c r="R95" s="1932"/>
    </row>
    <row r="96" spans="1:18" ht="15.75">
      <c r="A96" s="878" t="s">
        <v>1347</v>
      </c>
      <c r="B96" s="1259" t="s">
        <v>1199</v>
      </c>
      <c r="C96" s="1267" t="s">
        <v>1348</v>
      </c>
      <c r="D96" s="1260" t="s">
        <v>1210</v>
      </c>
      <c r="E96" s="1260" t="s">
        <v>1323</v>
      </c>
      <c r="F96" s="1258" t="s">
        <v>1228</v>
      </c>
      <c r="G96" s="909">
        <v>4.2</v>
      </c>
      <c r="H96" s="910">
        <v>4.8</v>
      </c>
      <c r="I96" s="911">
        <v>5</v>
      </c>
      <c r="J96" s="912">
        <v>12</v>
      </c>
      <c r="K96" s="909">
        <v>3</v>
      </c>
      <c r="L96" s="913">
        <v>4</v>
      </c>
      <c r="M96" s="871">
        <v>1036</v>
      </c>
      <c r="N96" s="881">
        <v>1056</v>
      </c>
      <c r="O96" s="879">
        <v>1006</v>
      </c>
      <c r="P96" s="881">
        <v>1010</v>
      </c>
      <c r="Q96" s="919"/>
      <c r="R96" s="1932"/>
    </row>
    <row r="97" spans="1:18" ht="15.75">
      <c r="A97" s="864"/>
      <c r="B97" s="1257" t="s">
        <v>1199</v>
      </c>
      <c r="C97" s="1265" t="s">
        <v>1349</v>
      </c>
      <c r="D97" s="1258" t="s">
        <v>1244</v>
      </c>
      <c r="E97" s="1258" t="s">
        <v>1207</v>
      </c>
      <c r="F97" s="1258" t="s">
        <v>1203</v>
      </c>
      <c r="G97" s="873">
        <v>4</v>
      </c>
      <c r="H97" s="874">
        <v>5.5</v>
      </c>
      <c r="I97" s="875">
        <v>15</v>
      </c>
      <c r="J97" s="876">
        <v>30</v>
      </c>
      <c r="K97" s="873">
        <v>11</v>
      </c>
      <c r="L97" s="877">
        <v>20</v>
      </c>
      <c r="M97" s="871">
        <v>1044</v>
      </c>
      <c r="N97" s="872">
        <v>1055</v>
      </c>
      <c r="O97" s="865">
        <v>1010</v>
      </c>
      <c r="P97" s="872">
        <v>1018</v>
      </c>
      <c r="Q97" s="919"/>
      <c r="R97" s="1932"/>
    </row>
    <row r="98" spans="1:18" ht="15.75">
      <c r="A98" s="864"/>
      <c r="B98" s="1257" t="s">
        <v>1199</v>
      </c>
      <c r="C98" s="1265" t="s">
        <v>1350</v>
      </c>
      <c r="D98" s="1258" t="s">
        <v>1210</v>
      </c>
      <c r="E98" s="1258" t="s">
        <v>1239</v>
      </c>
      <c r="F98" s="1258" t="s">
        <v>1228</v>
      </c>
      <c r="G98" s="873">
        <v>3.5</v>
      </c>
      <c r="H98" s="874">
        <v>4.7</v>
      </c>
      <c r="I98" s="875">
        <v>5</v>
      </c>
      <c r="J98" s="876">
        <v>12</v>
      </c>
      <c r="K98" s="873">
        <v>3</v>
      </c>
      <c r="L98" s="877">
        <v>6</v>
      </c>
      <c r="M98" s="871">
        <v>1032</v>
      </c>
      <c r="N98" s="872">
        <v>1040</v>
      </c>
      <c r="O98" s="865">
        <v>1004</v>
      </c>
      <c r="P98" s="872">
        <v>1008</v>
      </c>
      <c r="Q98" s="919"/>
      <c r="R98" s="1932"/>
    </row>
    <row r="99" spans="1:18" ht="15.75">
      <c r="A99" s="864"/>
      <c r="B99" s="1257" t="s">
        <v>1199</v>
      </c>
      <c r="C99" s="1265" t="s">
        <v>1351</v>
      </c>
      <c r="D99" s="1258" t="s">
        <v>1269</v>
      </c>
      <c r="E99" s="1258"/>
      <c r="F99" s="1258" t="s">
        <v>1257</v>
      </c>
      <c r="G99" s="873">
        <v>2.8</v>
      </c>
      <c r="H99" s="874">
        <v>3.6</v>
      </c>
      <c r="I99" s="875">
        <v>15</v>
      </c>
      <c r="J99" s="876">
        <v>20</v>
      </c>
      <c r="K99" s="873">
        <v>22</v>
      </c>
      <c r="L99" s="877">
        <v>35</v>
      </c>
      <c r="M99" s="871">
        <v>1033</v>
      </c>
      <c r="N99" s="872">
        <v>1038</v>
      </c>
      <c r="O99" s="865">
        <v>1012</v>
      </c>
      <c r="P99" s="872">
        <v>1015</v>
      </c>
      <c r="Q99" s="919"/>
      <c r="R99" s="1932"/>
    </row>
    <row r="100" spans="1:18" ht="15.75">
      <c r="A100" s="864"/>
      <c r="B100" s="1257" t="s">
        <v>1199</v>
      </c>
      <c r="C100" s="1265" t="s">
        <v>1352</v>
      </c>
      <c r="D100" s="1258" t="s">
        <v>1210</v>
      </c>
      <c r="E100" s="1258" t="s">
        <v>1239</v>
      </c>
      <c r="F100" s="1258" t="s">
        <v>1027</v>
      </c>
      <c r="G100" s="873">
        <v>2.5</v>
      </c>
      <c r="H100" s="874">
        <v>3.3</v>
      </c>
      <c r="I100" s="875">
        <v>20</v>
      </c>
      <c r="J100" s="876">
        <v>35</v>
      </c>
      <c r="K100" s="873">
        <v>3</v>
      </c>
      <c r="L100" s="877">
        <v>6</v>
      </c>
      <c r="M100" s="871">
        <v>1028</v>
      </c>
      <c r="N100" s="872">
        <v>1032</v>
      </c>
      <c r="O100" s="865">
        <v>1006</v>
      </c>
      <c r="P100" s="872">
        <v>1012</v>
      </c>
      <c r="Q100" s="919"/>
      <c r="R100" s="1932"/>
    </row>
    <row r="101" spans="1:18" ht="15.75">
      <c r="A101" s="864"/>
      <c r="B101" s="1257" t="s">
        <v>1199</v>
      </c>
      <c r="C101" s="1265" t="s">
        <v>1353</v>
      </c>
      <c r="D101" s="1258" t="s">
        <v>1220</v>
      </c>
      <c r="E101" s="1258" t="s">
        <v>1220</v>
      </c>
      <c r="F101" s="1258" t="s">
        <v>1203</v>
      </c>
      <c r="G101" s="873">
        <v>4.5</v>
      </c>
      <c r="H101" s="874">
        <v>6</v>
      </c>
      <c r="I101" s="875">
        <v>25</v>
      </c>
      <c r="J101" s="876">
        <v>40</v>
      </c>
      <c r="K101" s="873">
        <v>3</v>
      </c>
      <c r="L101" s="877">
        <v>6</v>
      </c>
      <c r="M101" s="871">
        <v>1044</v>
      </c>
      <c r="N101" s="872">
        <v>1060</v>
      </c>
      <c r="O101" s="865">
        <v>1010</v>
      </c>
      <c r="P101" s="872">
        <v>1015</v>
      </c>
      <c r="Q101" s="919"/>
      <c r="R101" s="1932"/>
    </row>
    <row r="102" spans="1:18" ht="15.75">
      <c r="A102" s="864"/>
      <c r="B102" s="1257" t="s">
        <v>1199</v>
      </c>
      <c r="C102" s="1265" t="s">
        <v>1354</v>
      </c>
      <c r="D102" s="1258" t="s">
        <v>934</v>
      </c>
      <c r="E102" s="1258" t="s">
        <v>1303</v>
      </c>
      <c r="F102" s="1258" t="s">
        <v>1203</v>
      </c>
      <c r="G102" s="873">
        <v>4.5</v>
      </c>
      <c r="H102" s="874">
        <v>6</v>
      </c>
      <c r="I102" s="875">
        <v>20</v>
      </c>
      <c r="J102" s="876">
        <v>30</v>
      </c>
      <c r="K102" s="873">
        <v>18</v>
      </c>
      <c r="L102" s="877">
        <v>30</v>
      </c>
      <c r="M102" s="871">
        <v>1046</v>
      </c>
      <c r="N102" s="872">
        <v>1060</v>
      </c>
      <c r="O102" s="865">
        <v>1010</v>
      </c>
      <c r="P102" s="872">
        <v>1016</v>
      </c>
      <c r="Q102" s="919"/>
      <c r="R102" s="1932"/>
    </row>
    <row r="103" spans="1:18" ht="15.75">
      <c r="A103" s="864"/>
      <c r="B103" s="1257" t="s">
        <v>1199</v>
      </c>
      <c r="C103" s="1265" t="s">
        <v>1355</v>
      </c>
      <c r="D103" s="1258" t="s">
        <v>1210</v>
      </c>
      <c r="E103" s="1258" t="s">
        <v>1210</v>
      </c>
      <c r="F103" s="1258" t="s">
        <v>1228</v>
      </c>
      <c r="G103" s="873">
        <v>4.5</v>
      </c>
      <c r="H103" s="874">
        <v>6</v>
      </c>
      <c r="I103" s="875">
        <v>10</v>
      </c>
      <c r="J103" s="876">
        <v>20</v>
      </c>
      <c r="K103" s="873">
        <v>14</v>
      </c>
      <c r="L103" s="877">
        <v>19</v>
      </c>
      <c r="M103" s="871">
        <v>1046</v>
      </c>
      <c r="N103" s="872">
        <v>1056</v>
      </c>
      <c r="O103" s="865">
        <v>1010</v>
      </c>
      <c r="P103" s="872">
        <v>1014</v>
      </c>
      <c r="Q103" s="919"/>
      <c r="R103" s="1932"/>
    </row>
    <row r="104" spans="1:18" ht="15.75">
      <c r="A104" s="882"/>
      <c r="B104" s="1261" t="s">
        <v>1199</v>
      </c>
      <c r="C104" s="1266" t="s">
        <v>1356</v>
      </c>
      <c r="D104" s="1262" t="s">
        <v>1210</v>
      </c>
      <c r="E104" s="1262" t="s">
        <v>1336</v>
      </c>
      <c r="F104" s="1262" t="s">
        <v>1251</v>
      </c>
      <c r="G104" s="904">
        <v>7</v>
      </c>
      <c r="H104" s="905">
        <v>11</v>
      </c>
      <c r="I104" s="906">
        <v>7</v>
      </c>
      <c r="J104" s="907">
        <v>15</v>
      </c>
      <c r="K104" s="904">
        <v>4</v>
      </c>
      <c r="L104" s="908">
        <v>22</v>
      </c>
      <c r="M104" s="884">
        <v>1076</v>
      </c>
      <c r="N104" s="885">
        <v>1120</v>
      </c>
      <c r="O104" s="883">
        <v>1016</v>
      </c>
      <c r="P104" s="885">
        <v>1020</v>
      </c>
      <c r="Q104" s="919"/>
      <c r="R104" s="1932"/>
    </row>
    <row r="105" spans="1:18" ht="15.75">
      <c r="A105" s="864" t="s">
        <v>1357</v>
      </c>
      <c r="B105" s="1257" t="s">
        <v>1199</v>
      </c>
      <c r="C105" s="1258" t="s">
        <v>1358</v>
      </c>
      <c r="D105" s="3918" t="s">
        <v>1359</v>
      </c>
      <c r="E105" s="3918" t="s">
        <v>1359</v>
      </c>
      <c r="F105" s="3918" t="s">
        <v>1359</v>
      </c>
      <c r="G105" s="3921" t="s">
        <v>1360</v>
      </c>
      <c r="H105" s="3922"/>
      <c r="I105" s="3922"/>
      <c r="J105" s="3922"/>
      <c r="K105" s="3922"/>
      <c r="L105" s="3922"/>
      <c r="M105" s="3922"/>
      <c r="N105" s="3922"/>
      <c r="O105" s="3922"/>
      <c r="P105" s="3923"/>
      <c r="Q105" s="919"/>
      <c r="R105" s="1932"/>
    </row>
    <row r="106" spans="1:18" ht="15.75">
      <c r="A106" s="864"/>
      <c r="B106" s="1257" t="s">
        <v>1204</v>
      </c>
      <c r="C106" s="1258" t="s">
        <v>1361</v>
      </c>
      <c r="D106" s="3919"/>
      <c r="E106" s="3919"/>
      <c r="F106" s="3919"/>
      <c r="G106" s="3924"/>
      <c r="H106" s="3925"/>
      <c r="I106" s="3925"/>
      <c r="J106" s="3925"/>
      <c r="K106" s="3925"/>
      <c r="L106" s="3925"/>
      <c r="M106" s="3925"/>
      <c r="N106" s="3925"/>
      <c r="O106" s="3925"/>
      <c r="P106" s="3926"/>
      <c r="Q106" s="919"/>
      <c r="R106" s="1932"/>
    </row>
    <row r="107" spans="1:18" ht="15.75">
      <c r="A107" s="864"/>
      <c r="B107" s="1257" t="s">
        <v>25</v>
      </c>
      <c r="C107" s="1258" t="s">
        <v>1362</v>
      </c>
      <c r="D107" s="3920"/>
      <c r="E107" s="3920"/>
      <c r="F107" s="3920"/>
      <c r="G107" s="3927"/>
      <c r="H107" s="3928"/>
      <c r="I107" s="3928"/>
      <c r="J107" s="3928"/>
      <c r="K107" s="3928"/>
      <c r="L107" s="3928"/>
      <c r="M107" s="3928"/>
      <c r="N107" s="3928"/>
      <c r="O107" s="3928"/>
      <c r="P107" s="3929"/>
      <c r="Q107" s="919"/>
      <c r="R107" s="1932"/>
    </row>
    <row r="108" spans="1:18" ht="15.75">
      <c r="A108" s="878" t="s">
        <v>1363</v>
      </c>
      <c r="B108" s="1259" t="s">
        <v>1199</v>
      </c>
      <c r="C108" s="1260" t="s">
        <v>1364</v>
      </c>
      <c r="D108" s="3918" t="s">
        <v>1359</v>
      </c>
      <c r="E108" s="3918" t="s">
        <v>1359</v>
      </c>
      <c r="F108" s="3918" t="s">
        <v>1359</v>
      </c>
      <c r="G108" s="3921" t="s">
        <v>1365</v>
      </c>
      <c r="H108" s="3922"/>
      <c r="I108" s="3922"/>
      <c r="J108" s="3922"/>
      <c r="K108" s="3922"/>
      <c r="L108" s="3922"/>
      <c r="M108" s="3922"/>
      <c r="N108" s="3922"/>
      <c r="O108" s="3922"/>
      <c r="P108" s="3923"/>
      <c r="Q108" s="919"/>
      <c r="R108" s="1932"/>
    </row>
    <row r="109" spans="1:18" ht="15.75">
      <c r="A109" s="864"/>
      <c r="B109" s="1257" t="s">
        <v>1204</v>
      </c>
      <c r="C109" s="1258" t="s">
        <v>1366</v>
      </c>
      <c r="D109" s="3919"/>
      <c r="E109" s="3919"/>
      <c r="F109" s="3919"/>
      <c r="G109" s="3924"/>
      <c r="H109" s="3925"/>
      <c r="I109" s="3925"/>
      <c r="J109" s="3925"/>
      <c r="K109" s="3925"/>
      <c r="L109" s="3925"/>
      <c r="M109" s="3925"/>
      <c r="N109" s="3925"/>
      <c r="O109" s="3925"/>
      <c r="P109" s="3926"/>
      <c r="Q109" s="919"/>
      <c r="R109" s="1932"/>
    </row>
    <row r="110" spans="1:18" ht="15.75">
      <c r="A110" s="882"/>
      <c r="B110" s="1261" t="s">
        <v>25</v>
      </c>
      <c r="C110" s="1262" t="s">
        <v>1367</v>
      </c>
      <c r="D110" s="3920"/>
      <c r="E110" s="3920"/>
      <c r="F110" s="3920"/>
      <c r="G110" s="3927"/>
      <c r="H110" s="3928"/>
      <c r="I110" s="3928"/>
      <c r="J110" s="3928"/>
      <c r="K110" s="3928"/>
      <c r="L110" s="3928"/>
      <c r="M110" s="3928"/>
      <c r="N110" s="3928"/>
      <c r="O110" s="3928"/>
      <c r="P110" s="3929"/>
      <c r="Q110" s="919"/>
      <c r="R110" s="1932"/>
    </row>
    <row r="111" spans="1:18" ht="15.75">
      <c r="A111" s="864" t="s">
        <v>1368</v>
      </c>
      <c r="B111" s="1257" t="s">
        <v>1199</v>
      </c>
      <c r="C111" s="1258" t="s">
        <v>1369</v>
      </c>
      <c r="D111" s="3918" t="s">
        <v>1359</v>
      </c>
      <c r="E111" s="3918" t="s">
        <v>1359</v>
      </c>
      <c r="F111" s="3918" t="s">
        <v>1359</v>
      </c>
      <c r="G111" s="3924" t="s">
        <v>1370</v>
      </c>
      <c r="H111" s="3925"/>
      <c r="I111" s="3925"/>
      <c r="J111" s="3925"/>
      <c r="K111" s="3925"/>
      <c r="L111" s="3925"/>
      <c r="M111" s="3925"/>
      <c r="N111" s="3925"/>
      <c r="O111" s="3925"/>
      <c r="P111" s="3926"/>
      <c r="Q111" s="919"/>
      <c r="R111" s="1932"/>
    </row>
    <row r="112" spans="1:18" ht="15.75">
      <c r="A112" s="864"/>
      <c r="B112" s="1257" t="s">
        <v>1204</v>
      </c>
      <c r="C112" s="1258" t="s">
        <v>1371</v>
      </c>
      <c r="D112" s="3919"/>
      <c r="E112" s="3919"/>
      <c r="F112" s="3919"/>
      <c r="G112" s="3924" t="s">
        <v>1372</v>
      </c>
      <c r="H112" s="3925"/>
      <c r="I112" s="3925"/>
      <c r="J112" s="3925"/>
      <c r="K112" s="3925"/>
      <c r="L112" s="3925"/>
      <c r="M112" s="3925"/>
      <c r="N112" s="3925"/>
      <c r="O112" s="3925"/>
      <c r="P112" s="3926"/>
      <c r="Q112" s="919"/>
      <c r="R112" s="1932"/>
    </row>
    <row r="113" spans="1:18" ht="15.75">
      <c r="A113" s="864"/>
      <c r="B113" s="1257" t="s">
        <v>25</v>
      </c>
      <c r="C113" s="1258" t="s">
        <v>1373</v>
      </c>
      <c r="D113" s="3920"/>
      <c r="E113" s="3920"/>
      <c r="F113" s="3920"/>
      <c r="G113" s="3924" t="s">
        <v>1374</v>
      </c>
      <c r="H113" s="3925"/>
      <c r="I113" s="3925"/>
      <c r="J113" s="3925"/>
      <c r="K113" s="3925"/>
      <c r="L113" s="3925"/>
      <c r="M113" s="3925"/>
      <c r="N113" s="3925"/>
      <c r="O113" s="3925"/>
      <c r="P113" s="3926"/>
      <c r="Q113" s="919"/>
      <c r="R113" s="1932"/>
    </row>
    <row r="114" spans="1:18" ht="15.75">
      <c r="A114" s="878" t="s">
        <v>1375</v>
      </c>
      <c r="B114" s="1259" t="s">
        <v>1199</v>
      </c>
      <c r="C114" s="1260" t="s">
        <v>1376</v>
      </c>
      <c r="D114" s="3918" t="s">
        <v>1359</v>
      </c>
      <c r="E114" s="3918" t="s">
        <v>1359</v>
      </c>
      <c r="F114" s="3918" t="s">
        <v>1359</v>
      </c>
      <c r="G114" s="3921" t="s">
        <v>1370</v>
      </c>
      <c r="H114" s="3922"/>
      <c r="I114" s="3922"/>
      <c r="J114" s="3922"/>
      <c r="K114" s="3922"/>
      <c r="L114" s="3922"/>
      <c r="M114" s="3922"/>
      <c r="N114" s="3922"/>
      <c r="O114" s="3922"/>
      <c r="P114" s="3923"/>
      <c r="Q114" s="919"/>
      <c r="R114" s="1932"/>
    </row>
    <row r="115" spans="1:18" ht="15.75">
      <c r="A115" s="882"/>
      <c r="B115" s="1261" t="s">
        <v>1204</v>
      </c>
      <c r="C115" s="1262" t="s">
        <v>1377</v>
      </c>
      <c r="D115" s="3920"/>
      <c r="E115" s="3920"/>
      <c r="F115" s="3920"/>
      <c r="G115" s="3927"/>
      <c r="H115" s="3928"/>
      <c r="I115" s="3928"/>
      <c r="J115" s="3928"/>
      <c r="K115" s="3928"/>
      <c r="L115" s="3928"/>
      <c r="M115" s="3928"/>
      <c r="N115" s="3928"/>
      <c r="O115" s="3928"/>
      <c r="P115" s="3929"/>
      <c r="Q115" s="919"/>
      <c r="R115" s="1932"/>
    </row>
    <row r="116" spans="1:18" ht="15.75">
      <c r="A116" s="864" t="s">
        <v>1378</v>
      </c>
      <c r="B116" s="1257" t="s">
        <v>1199</v>
      </c>
      <c r="C116" s="1258" t="s">
        <v>1379</v>
      </c>
      <c r="D116" s="3918" t="s">
        <v>1359</v>
      </c>
      <c r="E116" s="3918" t="s">
        <v>1359</v>
      </c>
      <c r="F116" s="3918" t="s">
        <v>1359</v>
      </c>
      <c r="G116" s="3921" t="s">
        <v>1380</v>
      </c>
      <c r="H116" s="3922"/>
      <c r="I116" s="3922"/>
      <c r="J116" s="3922"/>
      <c r="K116" s="3922"/>
      <c r="L116" s="3922"/>
      <c r="M116" s="3922"/>
      <c r="N116" s="3922"/>
      <c r="O116" s="3922"/>
      <c r="P116" s="3923"/>
      <c r="Q116" s="919"/>
      <c r="R116" s="1932"/>
    </row>
    <row r="117" spans="1:18" ht="15.75">
      <c r="A117" s="864"/>
      <c r="B117" s="1257" t="s">
        <v>1204</v>
      </c>
      <c r="C117" s="1258" t="s">
        <v>1381</v>
      </c>
      <c r="D117" s="3920"/>
      <c r="E117" s="3920"/>
      <c r="F117" s="3920"/>
      <c r="G117" s="3927"/>
      <c r="H117" s="3928"/>
      <c r="I117" s="3928"/>
      <c r="J117" s="3928"/>
      <c r="K117" s="3928"/>
      <c r="L117" s="3928"/>
      <c r="M117" s="3928"/>
      <c r="N117" s="3928"/>
      <c r="O117" s="3928"/>
      <c r="P117" s="3929"/>
      <c r="Q117" s="919"/>
      <c r="R117" s="1932"/>
    </row>
    <row r="118" spans="1:18" ht="15.75">
      <c r="A118" s="878" t="s">
        <v>1382</v>
      </c>
      <c r="B118" s="1259" t="s">
        <v>1199</v>
      </c>
      <c r="C118" s="1260" t="s">
        <v>1383</v>
      </c>
      <c r="D118" s="3918" t="s">
        <v>1359</v>
      </c>
      <c r="E118" s="3918" t="s">
        <v>1359</v>
      </c>
      <c r="F118" s="3918" t="s">
        <v>1359</v>
      </c>
      <c r="G118" s="3921" t="s">
        <v>1384</v>
      </c>
      <c r="H118" s="3922"/>
      <c r="I118" s="3922"/>
      <c r="J118" s="3922"/>
      <c r="K118" s="3922"/>
      <c r="L118" s="3922"/>
      <c r="M118" s="3922"/>
      <c r="N118" s="3922"/>
      <c r="O118" s="3922"/>
      <c r="P118" s="3923"/>
      <c r="Q118" s="919"/>
      <c r="R118" s="1932"/>
    </row>
    <row r="119" spans="1:18" ht="15.75">
      <c r="A119" s="882"/>
      <c r="B119" s="1261" t="s">
        <v>1204</v>
      </c>
      <c r="C119" s="1262" t="s">
        <v>1385</v>
      </c>
      <c r="D119" s="3920"/>
      <c r="E119" s="3920"/>
      <c r="F119" s="3920"/>
      <c r="G119" s="3927"/>
      <c r="H119" s="3928"/>
      <c r="I119" s="3928"/>
      <c r="J119" s="3928"/>
      <c r="K119" s="3928"/>
      <c r="L119" s="3928"/>
      <c r="M119" s="3928"/>
      <c r="N119" s="3928"/>
      <c r="O119" s="3928"/>
      <c r="P119" s="3929"/>
      <c r="Q119" s="919"/>
      <c r="R119" s="1932"/>
    </row>
    <row r="120" spans="1:18" ht="15.75">
      <c r="A120" s="864" t="s">
        <v>1386</v>
      </c>
      <c r="B120" s="1259" t="s">
        <v>1199</v>
      </c>
      <c r="C120" s="1260" t="s">
        <v>1387</v>
      </c>
      <c r="D120" s="3918" t="s">
        <v>1359</v>
      </c>
      <c r="E120" s="3918" t="s">
        <v>1359</v>
      </c>
      <c r="F120" s="3918" t="s">
        <v>1359</v>
      </c>
      <c r="G120" s="3921" t="s">
        <v>1388</v>
      </c>
      <c r="H120" s="3922"/>
      <c r="I120" s="3922"/>
      <c r="J120" s="3922"/>
      <c r="K120" s="3922"/>
      <c r="L120" s="3922"/>
      <c r="M120" s="3922"/>
      <c r="N120" s="3922"/>
      <c r="O120" s="3922"/>
      <c r="P120" s="3923"/>
      <c r="Q120" s="919"/>
      <c r="R120" s="1932"/>
    </row>
    <row r="121" spans="1:18" ht="15.75">
      <c r="A121" s="864"/>
      <c r="B121" s="1257" t="s">
        <v>1204</v>
      </c>
      <c r="C121" s="1258" t="s">
        <v>1389</v>
      </c>
      <c r="D121" s="3919"/>
      <c r="E121" s="3919"/>
      <c r="F121" s="3919"/>
      <c r="G121" s="3924"/>
      <c r="H121" s="3925"/>
      <c r="I121" s="3925"/>
      <c r="J121" s="3925"/>
      <c r="K121" s="3925"/>
      <c r="L121" s="3925"/>
      <c r="M121" s="3925"/>
      <c r="N121" s="3925"/>
      <c r="O121" s="3925"/>
      <c r="P121" s="3926"/>
      <c r="Q121" s="919"/>
      <c r="R121" s="1932"/>
    </row>
    <row r="122" spans="1:18" ht="15.75">
      <c r="A122" s="914"/>
      <c r="B122" s="1268" t="s">
        <v>25</v>
      </c>
      <c r="C122" s="1269" t="s">
        <v>1390</v>
      </c>
      <c r="D122" s="3930"/>
      <c r="E122" s="3930"/>
      <c r="F122" s="3930"/>
      <c r="G122" s="3931"/>
      <c r="H122" s="3932"/>
      <c r="I122" s="3932"/>
      <c r="J122" s="3932"/>
      <c r="K122" s="3932"/>
      <c r="L122" s="3932"/>
      <c r="M122" s="3932"/>
      <c r="N122" s="3932"/>
      <c r="O122" s="3932"/>
      <c r="P122" s="3933"/>
      <c r="Q122" s="919"/>
      <c r="R122" s="1932"/>
    </row>
    <row r="123" spans="1:18" ht="15.75">
      <c r="A123" s="915"/>
      <c r="B123" s="915"/>
      <c r="C123" s="860"/>
      <c r="D123" s="860"/>
      <c r="E123" s="860"/>
      <c r="F123" s="860"/>
      <c r="G123" s="860"/>
      <c r="H123" s="860"/>
      <c r="I123" s="860"/>
      <c r="J123" s="860"/>
      <c r="K123" s="916"/>
      <c r="L123" s="860"/>
      <c r="M123" s="860"/>
      <c r="N123" s="860"/>
      <c r="O123" s="860"/>
      <c r="P123" s="860"/>
      <c r="Q123" s="919"/>
      <c r="R123" s="1932"/>
    </row>
    <row r="124" spans="1:18" ht="16.5">
      <c r="A124" s="3934" t="s">
        <v>1826</v>
      </c>
      <c r="B124" s="3934"/>
      <c r="C124" s="3934"/>
      <c r="D124" s="3934"/>
      <c r="E124" s="3934"/>
      <c r="F124" s="3934"/>
      <c r="G124" s="3934"/>
      <c r="H124" s="860"/>
      <c r="I124" s="860"/>
      <c r="J124" s="860"/>
      <c r="K124" s="916"/>
      <c r="L124" s="860"/>
      <c r="M124" s="860"/>
      <c r="N124" s="860"/>
      <c r="O124" s="860"/>
      <c r="P124" s="860"/>
      <c r="Q124" s="919"/>
      <c r="R124" s="1932"/>
    </row>
    <row r="125" spans="1:18" ht="22.5" customHeight="1">
      <c r="A125" s="917"/>
      <c r="B125" s="917"/>
      <c r="C125" s="917"/>
      <c r="D125" s="917"/>
      <c r="E125" s="918"/>
      <c r="F125" s="918"/>
      <c r="G125" s="3948" t="s">
        <v>1391</v>
      </c>
      <c r="H125" s="3948"/>
      <c r="I125" s="3948"/>
      <c r="J125" s="3948"/>
      <c r="K125" s="3948"/>
      <c r="L125" s="3948"/>
      <c r="M125" s="3948"/>
      <c r="N125" s="3948"/>
      <c r="O125" s="3948"/>
      <c r="P125" s="860"/>
      <c r="Q125" s="919"/>
      <c r="R125" s="1932"/>
    </row>
    <row r="126" spans="1:18" ht="15" customHeight="1">
      <c r="A126" s="3949" t="s">
        <v>1065</v>
      </c>
      <c r="B126" s="3949"/>
      <c r="C126" s="3949"/>
      <c r="D126" s="853"/>
      <c r="E126" s="920"/>
      <c r="F126" s="920"/>
      <c r="G126" s="920"/>
      <c r="H126" s="3950"/>
      <c r="I126" s="3950"/>
      <c r="J126" s="3950"/>
      <c r="K126" s="921"/>
      <c r="L126" s="922"/>
      <c r="M126" s="853"/>
      <c r="N126" s="853"/>
      <c r="O126" s="923"/>
      <c r="P126" s="860"/>
      <c r="Q126" s="919"/>
      <c r="R126" s="1932"/>
    </row>
    <row r="127" spans="1:18" ht="15" customHeight="1">
      <c r="A127" s="3949"/>
      <c r="B127" s="3949"/>
      <c r="C127" s="3949"/>
      <c r="D127" s="853"/>
      <c r="E127" s="920"/>
      <c r="F127" s="920"/>
      <c r="G127" s="3951" t="s">
        <v>1066</v>
      </c>
      <c r="H127" s="3951"/>
      <c r="I127" s="1576">
        <v>1038</v>
      </c>
      <c r="J127" s="3952" t="str">
        <f>"(or "&amp;I127-1000&amp;" Brewers degrees) &amp; a bitterness of"</f>
        <v>(or 38 Brewers degrees) &amp; a bitterness of</v>
      </c>
      <c r="K127" s="3952"/>
      <c r="L127" s="3952"/>
      <c r="M127" s="1576">
        <v>28</v>
      </c>
      <c r="N127" s="1577" t="s">
        <v>1067</v>
      </c>
      <c r="O127" s="923"/>
      <c r="P127" s="860"/>
      <c r="Q127" s="919"/>
      <c r="R127" s="1932"/>
    </row>
    <row r="128" spans="1:18" ht="18.75">
      <c r="A128" s="860"/>
      <c r="B128" s="860"/>
      <c r="C128" s="853"/>
      <c r="D128" s="925"/>
      <c r="E128" s="925"/>
      <c r="F128" s="925"/>
      <c r="G128" s="3935" t="str">
        <f>"               The BU ̸ GU Ratio = "&amp;FIXED(M127/(I127-1000))&amp;", which is classed as "&amp;IF(M127/(I127-1000+0.001)&gt;0.81, "`Too Hoppy?`",IF(M127/(I127-1000)&gt;0.65,"`Very Hoppy`",IF(M127/(I127-1000)&gt;0.55,"`Slightly Hoppy`",IF(M127/(I127-1000)&gt;0.45,"`Balanced`",IF(M127/(I127-1000)&gt;0.35,"`Slightly Malty`",IF(M127/(I127-1000)&gt;0.25,"`Very Malty`",IF((M127+0.001)/(I127-1000)&gt;0,"`Too Malty?`")))))))&amp;"."</f>
        <v xml:space="preserve">               The BU ̸ GU Ratio = 0.74, which is classed as `Very Hoppy`.</v>
      </c>
      <c r="H128" s="3935"/>
      <c r="I128" s="3935"/>
      <c r="J128" s="3935"/>
      <c r="K128" s="3935"/>
      <c r="L128" s="3935"/>
      <c r="M128" s="1578"/>
      <c r="N128" s="1579"/>
      <c r="O128" s="923"/>
      <c r="P128" s="926"/>
      <c r="Q128" s="919"/>
      <c r="R128" s="1932"/>
    </row>
    <row r="129" spans="1:18" ht="36" customHeight="1">
      <c r="A129" s="853"/>
      <c r="B129" s="853"/>
      <c r="C129" s="853"/>
      <c r="D129" s="853"/>
      <c r="E129" s="920"/>
      <c r="F129" s="920"/>
      <c r="G129" s="920"/>
      <c r="H129" s="924"/>
      <c r="I129" s="927"/>
      <c r="J129" s="927"/>
      <c r="K129" s="928"/>
      <c r="L129" s="1575" t="s">
        <v>1392</v>
      </c>
      <c r="M129" s="3945" t="s">
        <v>1393</v>
      </c>
      <c r="N129" s="3945"/>
      <c r="O129" s="923"/>
      <c r="P129" s="926"/>
      <c r="Q129" s="919"/>
      <c r="R129" s="1932"/>
    </row>
    <row r="130" spans="1:18" ht="33" customHeight="1">
      <c r="A130" s="853"/>
      <c r="B130" s="853"/>
      <c r="C130" s="853"/>
      <c r="D130" s="853"/>
      <c r="E130" s="920"/>
      <c r="F130" s="920"/>
      <c r="G130" s="920"/>
      <c r="H130" s="924"/>
      <c r="I130" s="927"/>
      <c r="J130" s="927"/>
      <c r="K130" s="928"/>
      <c r="L130" s="929"/>
      <c r="M130" s="3945" t="s">
        <v>1394</v>
      </c>
      <c r="N130" s="3945"/>
      <c r="O130" s="923"/>
      <c r="P130" s="926"/>
      <c r="Q130" s="919"/>
      <c r="R130" s="1932"/>
    </row>
    <row r="131" spans="1:18" ht="33" customHeight="1">
      <c r="A131" s="2132" t="s">
        <v>1395</v>
      </c>
      <c r="B131" s="930"/>
      <c r="C131" s="930"/>
      <c r="D131" s="853"/>
      <c r="E131" s="853"/>
      <c r="F131" s="920"/>
      <c r="G131" s="920"/>
      <c r="H131" s="924"/>
      <c r="I131" s="927"/>
      <c r="J131" s="927"/>
      <c r="K131" s="928"/>
      <c r="L131" s="929"/>
      <c r="M131" s="3945" t="s">
        <v>1396</v>
      </c>
      <c r="N131" s="3945"/>
      <c r="O131" s="923"/>
      <c r="P131" s="926"/>
      <c r="Q131" s="919"/>
      <c r="R131" s="1932"/>
    </row>
    <row r="132" spans="1:18" ht="33" customHeight="1">
      <c r="A132" s="966" t="s">
        <v>959</v>
      </c>
      <c r="B132" s="930"/>
      <c r="C132" s="2940" t="s">
        <v>1822</v>
      </c>
      <c r="D132" s="853"/>
      <c r="E132" s="853"/>
      <c r="F132" s="920"/>
      <c r="G132" s="920"/>
      <c r="H132" s="924"/>
      <c r="I132" s="927"/>
      <c r="J132" s="927"/>
      <c r="K132" s="928"/>
      <c r="L132" s="929"/>
      <c r="M132" s="3945" t="s">
        <v>1397</v>
      </c>
      <c r="N132" s="3945"/>
      <c r="O132" s="923"/>
      <c r="P132" s="926"/>
      <c r="Q132" s="919"/>
      <c r="R132" s="1932"/>
    </row>
    <row r="133" spans="1:18" ht="36" customHeight="1">
      <c r="A133" s="3936"/>
      <c r="B133" s="3937"/>
      <c r="C133" s="3937"/>
      <c r="D133" s="3937"/>
      <c r="E133" s="3937"/>
      <c r="F133" s="3938"/>
      <c r="G133" s="920"/>
      <c r="H133" s="924"/>
      <c r="I133" s="927"/>
      <c r="J133" s="927"/>
      <c r="K133" s="928"/>
      <c r="L133" s="929"/>
      <c r="M133" s="3945" t="s">
        <v>1398</v>
      </c>
      <c r="N133" s="3945"/>
      <c r="O133" s="923"/>
      <c r="P133" s="926"/>
      <c r="Q133" s="919"/>
      <c r="R133" s="1932"/>
    </row>
    <row r="134" spans="1:18" ht="24.75" customHeight="1">
      <c r="A134" s="3939"/>
      <c r="B134" s="3940"/>
      <c r="C134" s="3940"/>
      <c r="D134" s="3940"/>
      <c r="E134" s="3940"/>
      <c r="F134" s="3941"/>
      <c r="G134" s="920"/>
      <c r="H134" s="924"/>
      <c r="I134" s="927"/>
      <c r="J134" s="927"/>
      <c r="K134" s="928"/>
      <c r="L134" s="929"/>
      <c r="M134" s="1878"/>
      <c r="N134" s="923"/>
      <c r="O134" s="923"/>
      <c r="P134" s="926"/>
      <c r="Q134" s="919"/>
      <c r="R134" s="1932"/>
    </row>
    <row r="135" spans="1:18" ht="18.75">
      <c r="A135" s="3939"/>
      <c r="B135" s="3940"/>
      <c r="C135" s="3940"/>
      <c r="D135" s="3940"/>
      <c r="E135" s="3940"/>
      <c r="F135" s="3941"/>
      <c r="G135" s="920"/>
      <c r="H135" s="924"/>
      <c r="I135" s="927"/>
      <c r="J135" s="927"/>
      <c r="K135" s="928"/>
      <c r="L135" s="929"/>
      <c r="M135" s="924"/>
      <c r="N135" s="931"/>
      <c r="O135" s="923"/>
      <c r="P135" s="853"/>
      <c r="Q135" s="919"/>
      <c r="R135" s="1932"/>
    </row>
    <row r="136" spans="1:18" s="596" customFormat="1" ht="18.75">
      <c r="A136" s="3939"/>
      <c r="B136" s="3940"/>
      <c r="C136" s="3940"/>
      <c r="D136" s="3940"/>
      <c r="E136" s="3940"/>
      <c r="F136" s="3941"/>
      <c r="G136" s="920"/>
      <c r="H136" s="924"/>
      <c r="I136" s="927"/>
      <c r="J136" s="927"/>
      <c r="K136" s="928"/>
      <c r="L136" s="929"/>
      <c r="M136" s="924"/>
      <c r="N136" s="931"/>
      <c r="O136" s="923"/>
      <c r="P136" s="853"/>
      <c r="Q136" s="919"/>
      <c r="R136" s="1932"/>
    </row>
    <row r="137" spans="1:18" s="596" customFormat="1" ht="18.75">
      <c r="A137" s="3939"/>
      <c r="B137" s="3940"/>
      <c r="C137" s="3940"/>
      <c r="D137" s="3940"/>
      <c r="E137" s="3940"/>
      <c r="F137" s="3941"/>
      <c r="G137" s="920"/>
      <c r="H137" s="924"/>
      <c r="I137" s="927"/>
      <c r="J137" s="927"/>
      <c r="K137" s="928"/>
      <c r="L137" s="929"/>
      <c r="M137" s="924"/>
      <c r="N137" s="931"/>
      <c r="O137" s="923"/>
      <c r="P137" s="853"/>
      <c r="Q137" s="919"/>
      <c r="R137" s="1932"/>
    </row>
    <row r="138" spans="1:18" ht="18.75">
      <c r="A138" s="3939"/>
      <c r="B138" s="3940"/>
      <c r="C138" s="3940"/>
      <c r="D138" s="3940"/>
      <c r="E138" s="3940"/>
      <c r="F138" s="3941"/>
      <c r="G138" s="920"/>
      <c r="H138" s="924"/>
      <c r="I138" s="927"/>
      <c r="J138" s="927"/>
      <c r="K138" s="928"/>
      <c r="L138" s="929"/>
      <c r="M138" s="924"/>
      <c r="N138" s="931"/>
      <c r="O138" s="932"/>
      <c r="P138" s="853"/>
      <c r="Q138" s="919"/>
      <c r="R138" s="1932"/>
    </row>
    <row r="139" spans="1:18" ht="18.75">
      <c r="A139" s="3939"/>
      <c r="B139" s="3940"/>
      <c r="C139" s="3940"/>
      <c r="D139" s="3940"/>
      <c r="E139" s="3940"/>
      <c r="F139" s="3941"/>
      <c r="G139" s="920"/>
      <c r="H139" s="924"/>
      <c r="I139" s="927"/>
      <c r="J139" s="927"/>
      <c r="K139" s="928"/>
      <c r="L139" s="929"/>
      <c r="M139" s="924"/>
      <c r="N139" s="931"/>
      <c r="O139" s="932"/>
      <c r="P139" s="853"/>
      <c r="Q139" s="919"/>
      <c r="R139" s="1932"/>
    </row>
    <row r="140" spans="1:18" ht="12" customHeight="1">
      <c r="A140" s="3942"/>
      <c r="B140" s="3943"/>
      <c r="C140" s="3943"/>
      <c r="D140" s="3943"/>
      <c r="E140" s="3943"/>
      <c r="F140" s="3944"/>
      <c r="G140" s="920"/>
      <c r="H140" s="924"/>
      <c r="I140" s="927"/>
      <c r="J140" s="927"/>
      <c r="K140" s="928"/>
      <c r="L140" s="929"/>
      <c r="M140" s="924"/>
      <c r="N140" s="931"/>
      <c r="O140" s="932"/>
      <c r="P140" s="853"/>
      <c r="Q140" s="919"/>
      <c r="R140" s="1932"/>
    </row>
    <row r="141" spans="1:18" s="1711" customFormat="1" ht="12" customHeight="1">
      <c r="A141" s="2545"/>
      <c r="B141" s="2545"/>
      <c r="C141" s="2545"/>
      <c r="D141" s="2545"/>
      <c r="E141" s="2545"/>
      <c r="F141" s="2545"/>
      <c r="G141" s="920"/>
      <c r="H141" s="924"/>
      <c r="I141" s="927"/>
      <c r="J141" s="927"/>
      <c r="K141" s="928"/>
      <c r="L141" s="929"/>
      <c r="M141" s="924"/>
      <c r="N141" s="931"/>
      <c r="O141" s="932"/>
      <c r="P141" s="853"/>
      <c r="Q141" s="919"/>
      <c r="R141" s="1932"/>
    </row>
    <row r="142" spans="1:18" ht="17.25" customHeight="1">
      <c r="A142" s="2789" t="s">
        <v>1068</v>
      </c>
      <c r="B142" s="3946" t="s">
        <v>808</v>
      </c>
      <c r="C142" s="3946"/>
      <c r="D142" s="933"/>
      <c r="E142" s="933"/>
      <c r="F142" s="933"/>
      <c r="G142" s="933"/>
      <c r="H142" s="933"/>
      <c r="I142" s="934"/>
      <c r="J142" s="3947" t="s">
        <v>1399</v>
      </c>
      <c r="K142" s="3947"/>
      <c r="L142" s="3947"/>
      <c r="M142" s="3947"/>
      <c r="N142" s="3947"/>
      <c r="O142" s="3947"/>
      <c r="P142" s="3947"/>
      <c r="Q142" s="919"/>
      <c r="R142" s="1932"/>
    </row>
    <row r="143" spans="1:18" ht="14.25" customHeight="1">
      <c r="A143" s="853"/>
      <c r="B143" s="853"/>
      <c r="C143" s="853"/>
      <c r="D143" s="853"/>
      <c r="E143" s="853"/>
      <c r="F143" s="853"/>
      <c r="G143" s="853"/>
      <c r="H143" s="853"/>
      <c r="I143" s="853"/>
      <c r="J143" s="853"/>
      <c r="K143" s="1879"/>
      <c r="L143" s="853"/>
      <c r="M143" s="853"/>
      <c r="N143" s="853"/>
      <c r="O143" s="853"/>
      <c r="P143" s="853"/>
      <c r="Q143" s="853"/>
      <c r="R143" s="1932"/>
    </row>
  </sheetData>
  <sheetProtection password="FA80" sheet="1" objects="1" scenarios="1"/>
  <mergeCells count="54">
    <mergeCell ref="A124:G124"/>
    <mergeCell ref="G128:L128"/>
    <mergeCell ref="A133:F140"/>
    <mergeCell ref="M133:N133"/>
    <mergeCell ref="B142:C142"/>
    <mergeCell ref="J142:P142"/>
    <mergeCell ref="M129:N129"/>
    <mergeCell ref="M130:N130"/>
    <mergeCell ref="M131:N131"/>
    <mergeCell ref="M132:N132"/>
    <mergeCell ref="G125:O125"/>
    <mergeCell ref="A126:C127"/>
    <mergeCell ref="H126:J126"/>
    <mergeCell ref="G127:H127"/>
    <mergeCell ref="J127:L127"/>
    <mergeCell ref="D118:D119"/>
    <mergeCell ref="E118:E119"/>
    <mergeCell ref="F118:F119"/>
    <mergeCell ref="G118:P119"/>
    <mergeCell ref="D120:D122"/>
    <mergeCell ref="E120:E122"/>
    <mergeCell ref="F120:F122"/>
    <mergeCell ref="G120:P122"/>
    <mergeCell ref="D114:D115"/>
    <mergeCell ref="E114:E115"/>
    <mergeCell ref="F114:F115"/>
    <mergeCell ref="G114:P115"/>
    <mergeCell ref="D116:D117"/>
    <mergeCell ref="E116:E117"/>
    <mergeCell ref="F116:F117"/>
    <mergeCell ref="G116:P117"/>
    <mergeCell ref="D111:D113"/>
    <mergeCell ref="E111:E113"/>
    <mergeCell ref="F111:F113"/>
    <mergeCell ref="G111:P111"/>
    <mergeCell ref="G112:P112"/>
    <mergeCell ref="G113:P113"/>
    <mergeCell ref="F105:F107"/>
    <mergeCell ref="G105:P107"/>
    <mergeCell ref="D108:D110"/>
    <mergeCell ref="E108:E110"/>
    <mergeCell ref="F108:F110"/>
    <mergeCell ref="G108:P110"/>
    <mergeCell ref="D105:D107"/>
    <mergeCell ref="E105:E107"/>
    <mergeCell ref="O1:P1"/>
    <mergeCell ref="O2:P2"/>
    <mergeCell ref="I3:J3"/>
    <mergeCell ref="K3:L3"/>
    <mergeCell ref="M3:N3"/>
    <mergeCell ref="O3:P3"/>
    <mergeCell ref="K1:L1"/>
    <mergeCell ref="E1:I1"/>
    <mergeCell ref="A3:E3"/>
  </mergeCells>
  <phoneticPr fontId="10" type="noConversion"/>
  <conditionalFormatting sqref="K5:L104">
    <cfRule type="colorScale" priority="6">
      <colorScale>
        <cfvo type="min" val="0"/>
        <cfvo type="max" val="0"/>
        <color rgb="FFFCFCFF"/>
        <color rgb="FFF8696B"/>
      </colorScale>
    </cfRule>
  </conditionalFormatting>
  <conditionalFormatting sqref="I5:J104">
    <cfRule type="colorScale" priority="5">
      <colorScale>
        <cfvo type="min" val="0"/>
        <cfvo type="max" val="0"/>
        <color rgb="FFFCFCFF"/>
        <color rgb="FFF8696B"/>
      </colorScale>
    </cfRule>
  </conditionalFormatting>
  <conditionalFormatting sqref="G5:H104">
    <cfRule type="colorScale" priority="4">
      <colorScale>
        <cfvo type="min" val="0"/>
        <cfvo type="max" val="0"/>
        <color rgb="FFFCFCFF"/>
        <color rgb="FFF8696B"/>
      </colorScale>
    </cfRule>
  </conditionalFormatting>
  <hyperlinks>
    <hyperlink ref="O2" r:id="rId1"/>
    <hyperlink ref="B142" r:id="rId2"/>
  </hyperlinks>
  <printOptions horizontalCentered="1"/>
  <pageMargins left="0.31496062992125984" right="0.31496062992125984" top="0.31496062992125984" bottom="0.70866141732283472" header="0.23622047244094491" footer="0.55118110236220474"/>
  <pageSetup paperSize="9" scale="35" fitToHeight="2" orientation="portrait" horizontalDpi="300" verticalDpi="300" r:id="rId3"/>
  <headerFooter alignWithMargins="0"/>
  <drawing r:id="rId4"/>
</worksheet>
</file>

<file path=xl/worksheets/sheet8.xml><?xml version="1.0" encoding="utf-8"?>
<worksheet xmlns="http://schemas.openxmlformats.org/spreadsheetml/2006/main" xmlns:r="http://schemas.openxmlformats.org/officeDocument/2006/relationships">
  <sheetPr enableFormatConditionsCalculation="0">
    <tabColor indexed="45"/>
  </sheetPr>
  <dimension ref="A1:AT287"/>
  <sheetViews>
    <sheetView zoomScale="75" zoomScaleNormal="75" zoomScaleSheetLayoutView="89" workbookViewId="0">
      <pane ySplit="7" topLeftCell="A8" activePane="bottomLeft" state="frozen"/>
      <selection pane="bottomLeft" activeCell="G31" sqref="G31"/>
    </sheetView>
  </sheetViews>
  <sheetFormatPr defaultColWidth="10.140625" defaultRowHeight="12.75"/>
  <cols>
    <col min="1" max="1" width="1.140625" style="111" customWidth="1"/>
    <col min="2" max="2" width="8.28515625" style="111" customWidth="1"/>
    <col min="3" max="3" width="25.28515625" style="111" customWidth="1"/>
    <col min="4" max="4" width="10.5703125" style="111" customWidth="1"/>
    <col min="5" max="5" width="5.28515625" style="111" customWidth="1"/>
    <col min="6" max="6" width="7" style="111" customWidth="1"/>
    <col min="7" max="7" width="10" style="111" customWidth="1"/>
    <col min="8" max="8" width="10" style="111" hidden="1" customWidth="1"/>
    <col min="9" max="10" width="11.5703125" style="111" customWidth="1"/>
    <col min="11" max="17" width="10" style="111" customWidth="1"/>
    <col min="18" max="19" width="9.5703125" style="111" customWidth="1"/>
    <col min="20" max="22" width="9" style="111" customWidth="1"/>
    <col min="23" max="23" width="2.28515625" style="111" customWidth="1"/>
    <col min="24" max="34" width="7.42578125" style="111" customWidth="1"/>
    <col min="35" max="35" width="10.85546875" style="111" customWidth="1"/>
    <col min="36" max="41" width="10.85546875" style="111" hidden="1" customWidth="1"/>
    <col min="42" max="42" width="3.28515625" style="111" hidden="1" customWidth="1"/>
    <col min="43" max="43" width="10.85546875" style="111" customWidth="1"/>
    <col min="44" max="46" width="6.5703125" style="111" customWidth="1"/>
    <col min="47" max="16384" width="10.140625" style="232"/>
  </cols>
  <sheetData>
    <row r="1" spans="1:46" ht="20.25">
      <c r="A1" s="4119" t="s">
        <v>1761</v>
      </c>
      <c r="B1" s="4119"/>
      <c r="C1" s="2279"/>
      <c r="D1" s="109"/>
      <c r="E1" s="109"/>
      <c r="F1" s="109"/>
      <c r="G1" s="109"/>
      <c r="H1" s="109" t="s">
        <v>287</v>
      </c>
      <c r="I1" s="1610"/>
      <c r="J1" s="1610"/>
      <c r="K1" s="4123" t="s">
        <v>1609</v>
      </c>
      <c r="L1" s="4123"/>
      <c r="M1" s="4123"/>
      <c r="N1" s="1610"/>
      <c r="O1" s="109"/>
      <c r="P1" s="109"/>
      <c r="Q1" s="109"/>
      <c r="R1" s="109"/>
      <c r="S1" s="109"/>
      <c r="T1" s="109"/>
      <c r="U1" s="3415" t="s">
        <v>1650</v>
      </c>
      <c r="V1" s="3415"/>
      <c r="W1" s="112"/>
      <c r="X1" s="4124" t="s">
        <v>653</v>
      </c>
      <c r="Y1" s="4124"/>
      <c r="Z1" s="4124"/>
      <c r="AA1" s="4124"/>
      <c r="AB1" s="4124"/>
      <c r="AC1" s="4124"/>
      <c r="AD1" s="4124"/>
      <c r="AE1" s="4124"/>
      <c r="AF1" s="4124"/>
      <c r="AG1" s="4124"/>
      <c r="AH1" s="4124"/>
      <c r="AI1" s="4124"/>
      <c r="AJ1" s="4124"/>
      <c r="AK1" s="4124"/>
      <c r="AL1" s="4124"/>
      <c r="AM1" s="4124"/>
      <c r="AN1" s="4124"/>
      <c r="AO1" s="4124"/>
      <c r="AP1" s="4124"/>
      <c r="AQ1" s="4124"/>
      <c r="AR1" s="4124"/>
      <c r="AS1" s="4124"/>
      <c r="AT1" s="4124"/>
    </row>
    <row r="2" spans="1:46" ht="12" customHeight="1">
      <c r="A2" s="2320"/>
      <c r="B2" s="2320"/>
      <c r="C2" s="2320"/>
      <c r="D2" s="109"/>
      <c r="E2" s="109"/>
      <c r="F2" s="109"/>
      <c r="G2" s="1251"/>
      <c r="H2" s="109"/>
      <c r="I2" s="109"/>
      <c r="J2" s="109"/>
      <c r="K2" s="109"/>
      <c r="L2" s="109"/>
      <c r="M2" s="109"/>
      <c r="N2" s="109"/>
      <c r="O2" s="109"/>
      <c r="P2" s="108"/>
      <c r="Q2" s="2515"/>
      <c r="R2" s="2581"/>
      <c r="S2" s="4121" t="s">
        <v>155</v>
      </c>
      <c r="T2" s="4121"/>
      <c r="U2" s="4121"/>
      <c r="V2" s="4121"/>
      <c r="W2" s="108"/>
      <c r="X2" s="4125" t="s">
        <v>558</v>
      </c>
      <c r="Y2" s="4126"/>
      <c r="Z2" s="4077" t="s">
        <v>559</v>
      </c>
      <c r="AA2" s="4081"/>
      <c r="AB2" s="4077" t="s">
        <v>560</v>
      </c>
      <c r="AC2" s="4081"/>
      <c r="AD2" s="4077" t="s">
        <v>561</v>
      </c>
      <c r="AE2" s="4081"/>
      <c r="AF2" s="4077" t="s">
        <v>562</v>
      </c>
      <c r="AG2" s="4078"/>
      <c r="AH2" s="4077" t="s">
        <v>563</v>
      </c>
      <c r="AI2" s="4078"/>
      <c r="AJ2" s="1131"/>
      <c r="AK2" s="1132"/>
      <c r="AL2" s="1133"/>
      <c r="AM2" s="1134"/>
      <c r="AN2" s="1134"/>
      <c r="AO2" s="1134"/>
      <c r="AP2" s="1134"/>
      <c r="AQ2" s="4077" t="s">
        <v>564</v>
      </c>
      <c r="AR2" s="4081"/>
      <c r="AS2" s="4077" t="s">
        <v>565</v>
      </c>
      <c r="AT2" s="4081"/>
    </row>
    <row r="3" spans="1:46" ht="15.75" customHeight="1">
      <c r="A3" s="4120" t="s">
        <v>566</v>
      </c>
      <c r="B3" s="4120"/>
      <c r="C3" s="4120"/>
      <c r="D3" s="4120"/>
      <c r="E3" s="601"/>
      <c r="F3" s="1002"/>
      <c r="G3" s="1002" t="s">
        <v>567</v>
      </c>
      <c r="H3" s="2582"/>
      <c r="I3" s="4122" t="s">
        <v>1757</v>
      </c>
      <c r="J3" s="4122"/>
      <c r="K3" s="4122"/>
      <c r="L3" s="4122"/>
      <c r="M3" s="4122"/>
      <c r="N3" s="4122"/>
      <c r="O3" s="598"/>
      <c r="P3" s="2956" t="s">
        <v>1825</v>
      </c>
      <c r="Q3" s="4115" t="s">
        <v>1498</v>
      </c>
      <c r="R3" s="4116"/>
      <c r="S3" s="4116"/>
      <c r="T3" s="4116"/>
      <c r="U3" s="4116"/>
      <c r="V3" s="4116"/>
      <c r="W3" s="108"/>
      <c r="X3" s="4127"/>
      <c r="Y3" s="4128"/>
      <c r="Z3" s="4079"/>
      <c r="AA3" s="4082"/>
      <c r="AB3" s="4079"/>
      <c r="AC3" s="4082"/>
      <c r="AD3" s="4079"/>
      <c r="AE3" s="4082"/>
      <c r="AF3" s="4079"/>
      <c r="AG3" s="4080"/>
      <c r="AH3" s="4079"/>
      <c r="AI3" s="4080"/>
      <c r="AJ3" s="801"/>
      <c r="AK3" s="1135"/>
      <c r="AL3" s="1135"/>
      <c r="AM3" s="1136"/>
      <c r="AN3" s="1136"/>
      <c r="AO3" s="1136"/>
      <c r="AP3" s="1136"/>
      <c r="AQ3" s="4079"/>
      <c r="AR3" s="4082"/>
      <c r="AS3" s="4079"/>
      <c r="AT3" s="4082"/>
    </row>
    <row r="4" spans="1:46" ht="15.75" customHeight="1">
      <c r="A4" s="601"/>
      <c r="B4" s="4016" t="s">
        <v>568</v>
      </c>
      <c r="C4" s="4016"/>
      <c r="D4" s="723">
        <f>1000+(F183-1000)*(F181/F180)</f>
        <v>1077.6389631368538</v>
      </c>
      <c r="E4" s="2559"/>
      <c r="F4" s="601"/>
      <c r="G4" s="2551" t="s">
        <v>159</v>
      </c>
      <c r="H4" s="2551"/>
      <c r="I4" s="4114" t="str">
        <f>FIXED(F185*F182/F177,1)&amp;"% ABV"</f>
        <v>11.2% ABV</v>
      </c>
      <c r="J4" s="4114"/>
      <c r="K4" s="4114"/>
      <c r="L4" s="4114"/>
      <c r="M4" s="4114"/>
      <c r="N4" s="4114"/>
      <c r="O4" s="598"/>
      <c r="P4" s="2957" t="s">
        <v>1613</v>
      </c>
      <c r="Q4" s="4115"/>
      <c r="R4" s="4116"/>
      <c r="S4" s="4116"/>
      <c r="T4" s="4116"/>
      <c r="U4" s="4116"/>
      <c r="V4" s="4116"/>
      <c r="W4" s="108"/>
      <c r="X4" s="4109" t="s">
        <v>569</v>
      </c>
      <c r="Y4" s="4110"/>
      <c r="Z4" s="4083" t="s">
        <v>570</v>
      </c>
      <c r="AA4" s="4084"/>
      <c r="AB4" s="4083" t="s">
        <v>571</v>
      </c>
      <c r="AC4" s="4084"/>
      <c r="AD4" s="4083" t="s">
        <v>572</v>
      </c>
      <c r="AE4" s="4084"/>
      <c r="AF4" s="4083" t="s">
        <v>573</v>
      </c>
      <c r="AG4" s="4084"/>
      <c r="AH4" s="4085" t="s">
        <v>574</v>
      </c>
      <c r="AI4" s="4108"/>
      <c r="AJ4" s="671"/>
      <c r="AK4" s="671"/>
      <c r="AL4" s="671"/>
      <c r="AM4" s="671"/>
      <c r="AN4" s="671"/>
      <c r="AO4" s="671"/>
      <c r="AP4" s="671"/>
      <c r="AQ4" s="4085" t="s">
        <v>575</v>
      </c>
      <c r="AR4" s="4086"/>
      <c r="AS4" s="4085" t="s">
        <v>575</v>
      </c>
      <c r="AT4" s="4086"/>
    </row>
    <row r="5" spans="1:46" ht="15.75" customHeight="1">
      <c r="A5" s="601"/>
      <c r="B5" s="4016" t="s">
        <v>576</v>
      </c>
      <c r="C5" s="4016"/>
      <c r="D5" s="723">
        <f>1000+(F184-1000)*(F181/F180)</f>
        <v>993.79376242256706</v>
      </c>
      <c r="E5" s="2559"/>
      <c r="F5" s="601"/>
      <c r="G5" s="2569" t="s">
        <v>160</v>
      </c>
      <c r="H5" s="2569"/>
      <c r="I5" s="4065" t="str">
        <f>FIXED(J184*F$182/F$177)&amp;"% &amp; is expressed in terms of the tartaric equvalent."</f>
        <v>0.68% &amp; is expressed in terms of the tartaric equvalent.</v>
      </c>
      <c r="J5" s="4065"/>
      <c r="K5" s="4065"/>
      <c r="L5" s="4065"/>
      <c r="M5" s="4065"/>
      <c r="N5" s="2549"/>
      <c r="O5" s="1626"/>
      <c r="P5" s="599"/>
      <c r="Q5" s="4112" t="s">
        <v>1048</v>
      </c>
      <c r="R5" s="4113"/>
      <c r="S5" s="4113"/>
      <c r="T5" s="4113"/>
      <c r="U5" s="4113"/>
      <c r="V5" s="4113"/>
      <c r="W5" s="108"/>
      <c r="X5" s="4106" t="s">
        <v>577</v>
      </c>
      <c r="Y5" s="4107"/>
      <c r="Z5" s="4085" t="s">
        <v>578</v>
      </c>
      <c r="AA5" s="4086"/>
      <c r="AB5" s="4085" t="s">
        <v>579</v>
      </c>
      <c r="AC5" s="4086"/>
      <c r="AD5" s="4085" t="s">
        <v>580</v>
      </c>
      <c r="AE5" s="4086"/>
      <c r="AF5" s="4085" t="s">
        <v>581</v>
      </c>
      <c r="AG5" s="4086"/>
      <c r="AH5" s="4085" t="s">
        <v>582</v>
      </c>
      <c r="AI5" s="4108"/>
      <c r="AJ5" s="671"/>
      <c r="AK5" s="671"/>
      <c r="AL5" s="671"/>
      <c r="AM5" s="671"/>
      <c r="AN5" s="671"/>
      <c r="AO5" s="671"/>
      <c r="AP5" s="671"/>
      <c r="AQ5" s="4085" t="s">
        <v>583</v>
      </c>
      <c r="AR5" s="4086"/>
      <c r="AS5" s="4085" t="s">
        <v>584</v>
      </c>
      <c r="AT5" s="4086"/>
    </row>
    <row r="6" spans="1:46" ht="15.75" customHeight="1">
      <c r="A6" s="601"/>
      <c r="B6" s="4016" t="s">
        <v>585</v>
      </c>
      <c r="C6" s="4016"/>
      <c r="D6" s="723">
        <f>F184+H173</f>
        <v>993.79376242256706</v>
      </c>
      <c r="E6" s="2559"/>
      <c r="F6" s="601"/>
      <c r="G6" s="2551" t="s">
        <v>161</v>
      </c>
      <c r="H6" s="2551"/>
      <c r="I6" s="4065" t="str">
        <f>FIXED(J185*F$182/F$177)&amp;"%"</f>
        <v>0.04%</v>
      </c>
      <c r="J6" s="4065"/>
      <c r="K6" s="4065"/>
      <c r="L6" s="4065"/>
      <c r="M6" s="4065"/>
      <c r="N6" s="4065"/>
      <c r="O6" s="598"/>
      <c r="P6" s="2563"/>
      <c r="Q6" s="1002"/>
      <c r="R6" s="600"/>
      <c r="S6" s="600"/>
      <c r="T6" s="600"/>
      <c r="U6" s="600"/>
      <c r="V6" s="600"/>
      <c r="W6" s="108"/>
      <c r="X6" s="4106" t="s">
        <v>586</v>
      </c>
      <c r="Y6" s="4107"/>
      <c r="Z6" s="4085" t="s">
        <v>587</v>
      </c>
      <c r="AA6" s="4086"/>
      <c r="AB6" s="4085" t="s">
        <v>588</v>
      </c>
      <c r="AC6" s="4086"/>
      <c r="AD6" s="4085" t="s">
        <v>589</v>
      </c>
      <c r="AE6" s="4086"/>
      <c r="AF6" s="4085" t="s">
        <v>587</v>
      </c>
      <c r="AG6" s="4086"/>
      <c r="AH6" s="4085" t="s">
        <v>590</v>
      </c>
      <c r="AI6" s="4108"/>
      <c r="AJ6" s="671"/>
      <c r="AK6" s="671"/>
      <c r="AL6" s="671"/>
      <c r="AM6" s="671"/>
      <c r="AN6" s="671"/>
      <c r="AO6" s="671"/>
      <c r="AP6" s="671"/>
      <c r="AQ6" s="4085" t="s">
        <v>591</v>
      </c>
      <c r="AR6" s="4086"/>
      <c r="AS6" s="4085" t="s">
        <v>591</v>
      </c>
      <c r="AT6" s="4086"/>
    </row>
    <row r="7" spans="1:46" ht="15.75" customHeight="1">
      <c r="A7" s="601"/>
      <c r="B7" s="3985" t="s">
        <v>945</v>
      </c>
      <c r="C7" s="3985"/>
      <c r="D7" s="2474">
        <v>4.5</v>
      </c>
      <c r="E7" s="4118" t="str">
        <f>"/ "&amp;FIXED(F181)&amp;" litres"</f>
        <v>/ 5.16 litres</v>
      </c>
      <c r="F7" s="4118"/>
      <c r="G7" s="2561" t="s">
        <v>593</v>
      </c>
      <c r="H7" s="2561"/>
      <c r="I7" s="2716" t="str">
        <f>IF(D6&gt;1020,"Dessert",IF(D6&gt;1015,"Sweet",IF(D6&gt;1010,"Medium Sweet",IF(D6&gt;1005,"Medium",IF(D6&gt;998,"Medium dry",IF(D6&gt;0,"Dry"))))))</f>
        <v>Dry</v>
      </c>
      <c r="J7" s="600"/>
      <c r="K7" s="600"/>
      <c r="L7" s="600"/>
      <c r="M7" s="600"/>
      <c r="N7" s="600"/>
      <c r="O7" s="600"/>
      <c r="P7" s="600"/>
      <c r="Q7" s="600"/>
      <c r="R7" s="600"/>
      <c r="S7" s="600"/>
      <c r="T7" s="600"/>
      <c r="U7" s="600"/>
      <c r="V7" s="600"/>
      <c r="W7" s="108"/>
      <c r="X7" s="4090" t="s">
        <v>593</v>
      </c>
      <c r="Y7" s="4091"/>
      <c r="Z7" s="4087" t="s">
        <v>154</v>
      </c>
      <c r="AA7" s="4088"/>
      <c r="AB7" s="4087" t="s">
        <v>594</v>
      </c>
      <c r="AC7" s="4088"/>
      <c r="AD7" s="4087" t="s">
        <v>595</v>
      </c>
      <c r="AE7" s="4088"/>
      <c r="AF7" s="4087" t="s">
        <v>596</v>
      </c>
      <c r="AG7" s="4088"/>
      <c r="AH7" s="4087" t="s">
        <v>534</v>
      </c>
      <c r="AI7" s="4089"/>
      <c r="AJ7" s="802"/>
      <c r="AK7" s="802"/>
      <c r="AL7" s="802"/>
      <c r="AM7" s="802"/>
      <c r="AN7" s="802"/>
      <c r="AO7" s="802"/>
      <c r="AP7" s="802"/>
      <c r="AQ7" s="4087" t="s">
        <v>597</v>
      </c>
      <c r="AR7" s="4088"/>
      <c r="AS7" s="4087" t="s">
        <v>597</v>
      </c>
      <c r="AT7" s="4088"/>
    </row>
    <row r="8" spans="1:46" ht="14.25" customHeight="1">
      <c r="A8" s="601"/>
      <c r="B8" s="2925"/>
      <c r="C8" s="1251"/>
      <c r="D8" s="1818"/>
      <c r="E8" s="4117" t="s">
        <v>1563</v>
      </c>
      <c r="F8" s="4117"/>
      <c r="G8" s="4117"/>
      <c r="H8" s="4117"/>
      <c r="I8" s="4117"/>
      <c r="J8" s="4117"/>
      <c r="K8" s="4117"/>
      <c r="L8" s="4117"/>
      <c r="M8" s="4117"/>
      <c r="N8" s="4117"/>
      <c r="O8" s="4117"/>
      <c r="P8" s="2925"/>
      <c r="Q8" s="1002"/>
      <c r="R8" s="600"/>
      <c r="S8" s="600"/>
      <c r="T8" s="600"/>
      <c r="U8" s="1144" t="s">
        <v>777</v>
      </c>
      <c r="V8" s="1144" t="s">
        <v>141</v>
      </c>
      <c r="W8" s="108"/>
      <c r="X8" s="4104" t="s">
        <v>599</v>
      </c>
      <c r="Y8" s="4104"/>
      <c r="Z8" s="4104"/>
      <c r="AA8" s="4104"/>
      <c r="AB8" s="4104"/>
      <c r="AC8" s="4104"/>
      <c r="AD8" s="4104"/>
      <c r="AE8" s="4104"/>
      <c r="AF8" s="4104"/>
      <c r="AG8" s="4104"/>
      <c r="AH8" s="4104"/>
      <c r="AI8" s="4104"/>
      <c r="AJ8" s="4104"/>
      <c r="AK8" s="4104"/>
      <c r="AL8" s="4104"/>
      <c r="AM8" s="4104"/>
      <c r="AN8" s="4104"/>
      <c r="AO8" s="4104"/>
      <c r="AP8" s="4104"/>
      <c r="AQ8" s="4104"/>
      <c r="AR8" s="4104"/>
      <c r="AS8" s="4104"/>
      <c r="AT8" s="4104"/>
    </row>
    <row r="9" spans="1:46" ht="14.25" customHeight="1">
      <c r="A9" s="601"/>
      <c r="B9" s="2923"/>
      <c r="C9" s="2925"/>
      <c r="D9" s="598"/>
      <c r="E9" s="598"/>
      <c r="F9" s="598"/>
      <c r="G9" s="2921"/>
      <c r="H9" s="2924"/>
      <c r="I9" s="2925"/>
      <c r="J9" s="2922"/>
      <c r="K9" s="2922"/>
      <c r="L9" s="602"/>
      <c r="M9" s="2925"/>
      <c r="N9" s="598"/>
      <c r="O9" s="598"/>
      <c r="P9" s="2925"/>
      <c r="Q9" s="1002"/>
      <c r="R9" s="600"/>
      <c r="S9" s="598"/>
      <c r="T9" s="598"/>
      <c r="U9" s="1150">
        <v>0.1</v>
      </c>
      <c r="V9" s="1152">
        <f>U9*28.3495</f>
        <v>2.8349500000000001</v>
      </c>
      <c r="W9" s="114"/>
      <c r="X9" s="769"/>
      <c r="Y9" s="769"/>
      <c r="Z9" s="769"/>
      <c r="AA9" s="769"/>
      <c r="AB9" s="769"/>
      <c r="AC9" s="769"/>
      <c r="AD9" s="769"/>
      <c r="AE9" s="769"/>
      <c r="AF9" s="669"/>
      <c r="AG9" s="669"/>
      <c r="AH9" s="669"/>
      <c r="AI9" s="669"/>
      <c r="AJ9" s="3954" t="s">
        <v>232</v>
      </c>
      <c r="AK9" s="3954"/>
      <c r="AL9" s="3954"/>
      <c r="AM9" s="3954"/>
      <c r="AN9" s="3954"/>
      <c r="AO9" s="3954"/>
      <c r="AP9" s="3954"/>
      <c r="AQ9" s="774"/>
      <c r="AR9" s="1139"/>
      <c r="AS9" s="1140"/>
      <c r="AT9" s="776"/>
    </row>
    <row r="10" spans="1:46" ht="14.25" customHeight="1">
      <c r="A10" s="601"/>
      <c r="B10" s="4055" t="s">
        <v>1163</v>
      </c>
      <c r="C10" s="4055"/>
      <c r="D10" s="4055"/>
      <c r="E10" s="4055"/>
      <c r="F10" s="4055"/>
      <c r="G10" s="4055"/>
      <c r="H10" s="2924"/>
      <c r="I10" s="605"/>
      <c r="J10" s="605"/>
      <c r="K10" s="605"/>
      <c r="L10" s="605"/>
      <c r="M10" s="605"/>
      <c r="N10" s="605"/>
      <c r="O10" s="605"/>
      <c r="P10" s="605"/>
      <c r="Q10" s="605"/>
      <c r="R10" s="605"/>
      <c r="S10" s="605"/>
      <c r="T10" s="601"/>
      <c r="U10" s="1151">
        <f>U9+0.1</f>
        <v>0.2</v>
      </c>
      <c r="V10" s="1152">
        <f>U9*28.3495</f>
        <v>2.8349500000000001</v>
      </c>
      <c r="W10" s="114"/>
      <c r="X10" s="775"/>
      <c r="Y10" s="776"/>
      <c r="Z10" s="776"/>
      <c r="AA10" s="776"/>
      <c r="AB10" s="776"/>
      <c r="AC10" s="776"/>
      <c r="AD10" s="776"/>
      <c r="AE10" s="776"/>
      <c r="AF10" s="776"/>
      <c r="AG10" s="776"/>
      <c r="AH10" s="776"/>
      <c r="AI10" s="1142"/>
      <c r="AJ10" s="1137" t="s">
        <v>396</v>
      </c>
      <c r="AK10" s="1137"/>
      <c r="AL10" s="1141"/>
      <c r="AM10" s="769"/>
      <c r="AN10" s="769"/>
      <c r="AO10" s="769"/>
      <c r="AP10" s="1251"/>
      <c r="AQ10" s="769"/>
      <c r="AR10" s="769"/>
      <c r="AS10" s="769"/>
      <c r="AT10" s="769"/>
    </row>
    <row r="11" spans="1:46" ht="14.25" customHeight="1">
      <c r="A11" s="601"/>
      <c r="B11" s="2925"/>
      <c r="C11" s="4111" t="s">
        <v>834</v>
      </c>
      <c r="D11" s="4111"/>
      <c r="E11" s="4111"/>
      <c r="F11" s="4111"/>
      <c r="G11" s="4111"/>
      <c r="H11" s="598"/>
      <c r="I11" s="606"/>
      <c r="J11" s="607"/>
      <c r="K11" s="607"/>
      <c r="L11" s="607"/>
      <c r="M11" s="607"/>
      <c r="N11" s="607"/>
      <c r="O11" s="607"/>
      <c r="P11" s="607"/>
      <c r="Q11" s="607"/>
      <c r="R11" s="607"/>
      <c r="S11" s="607"/>
      <c r="T11" s="601"/>
      <c r="U11" s="1151">
        <f t="shared" ref="U11:U72" si="0">U10+0.1</f>
        <v>0.30000000000000004</v>
      </c>
      <c r="V11" s="1152">
        <f>U11*28.3495</f>
        <v>8.5048500000000011</v>
      </c>
      <c r="W11" s="114"/>
      <c r="X11" s="669"/>
      <c r="Y11" s="669"/>
      <c r="Z11" s="669"/>
      <c r="AA11" s="669"/>
      <c r="AB11" s="669"/>
      <c r="AC11" s="669"/>
      <c r="AD11" s="669"/>
      <c r="AE11" s="669"/>
      <c r="AF11" s="669"/>
      <c r="AG11" s="669"/>
      <c r="AH11" s="115"/>
      <c r="AI11" s="115"/>
      <c r="AJ11" s="115"/>
      <c r="AK11" s="115"/>
      <c r="AL11" s="1141"/>
      <c r="AM11" s="769" t="s">
        <v>397</v>
      </c>
      <c r="AN11" s="769"/>
      <c r="AO11" s="769"/>
      <c r="AP11" s="1251"/>
      <c r="AQ11" s="4105" t="s">
        <v>1151</v>
      </c>
      <c r="AR11" s="4105"/>
      <c r="AS11" s="4105"/>
      <c r="AT11" s="1248"/>
    </row>
    <row r="12" spans="1:46" ht="14.25" customHeight="1">
      <c r="A12" s="601"/>
      <c r="B12" s="1619" t="s">
        <v>398</v>
      </c>
      <c r="C12" s="608"/>
      <c r="D12" s="609" t="s">
        <v>399</v>
      </c>
      <c r="E12" s="4102" t="s">
        <v>139</v>
      </c>
      <c r="F12" s="4102"/>
      <c r="G12" s="2135" t="s">
        <v>139</v>
      </c>
      <c r="H12" s="609"/>
      <c r="I12" s="610" t="s">
        <v>400</v>
      </c>
      <c r="J12" s="611" t="s">
        <v>140</v>
      </c>
      <c r="K12" s="611" t="s">
        <v>401</v>
      </c>
      <c r="L12" s="612" t="s">
        <v>402</v>
      </c>
      <c r="M12" s="612" t="s">
        <v>403</v>
      </c>
      <c r="N12" s="4099" t="s">
        <v>1150</v>
      </c>
      <c r="O12" s="4100"/>
      <c r="P12" s="4100"/>
      <c r="Q12" s="4100"/>
      <c r="R12" s="4100"/>
      <c r="S12" s="4101"/>
      <c r="T12" s="601"/>
      <c r="U12" s="1151">
        <f t="shared" si="0"/>
        <v>0.4</v>
      </c>
      <c r="V12" s="1152">
        <f>U12*28.3495</f>
        <v>11.3398</v>
      </c>
      <c r="W12" s="108"/>
      <c r="X12" s="777" t="s">
        <v>400</v>
      </c>
      <c r="Y12" s="611" t="s">
        <v>140</v>
      </c>
      <c r="Z12" s="611" t="s">
        <v>401</v>
      </c>
      <c r="AA12" s="611" t="s">
        <v>402</v>
      </c>
      <c r="AB12" s="611" t="s">
        <v>403</v>
      </c>
      <c r="AC12" s="610" t="s">
        <v>410</v>
      </c>
      <c r="AD12" s="610" t="s">
        <v>411</v>
      </c>
      <c r="AE12" s="778" t="s">
        <v>406</v>
      </c>
      <c r="AF12" s="778" t="s">
        <v>407</v>
      </c>
      <c r="AG12" s="778" t="s">
        <v>408</v>
      </c>
      <c r="AH12" s="779" t="s">
        <v>409</v>
      </c>
      <c r="AI12" s="568" t="s">
        <v>406</v>
      </c>
      <c r="AJ12" s="780" t="s">
        <v>412</v>
      </c>
      <c r="AK12" s="780" t="s">
        <v>413</v>
      </c>
      <c r="AL12" s="781" t="s">
        <v>414</v>
      </c>
      <c r="AM12" s="1143" t="s">
        <v>412</v>
      </c>
      <c r="AN12" s="1143" t="s">
        <v>413</v>
      </c>
      <c r="AO12" s="1143" t="s">
        <v>415</v>
      </c>
      <c r="AP12" s="769"/>
      <c r="AQ12" s="4103" t="s">
        <v>393</v>
      </c>
      <c r="AR12" s="4103"/>
      <c r="AS12" s="4103"/>
      <c r="AT12" s="2570"/>
    </row>
    <row r="13" spans="1:46" ht="14.25" customHeight="1">
      <c r="A13" s="601"/>
      <c r="B13" s="1620" t="s">
        <v>426</v>
      </c>
      <c r="C13" s="613"/>
      <c r="D13" s="614"/>
      <c r="E13" s="2133" t="s">
        <v>295</v>
      </c>
      <c r="F13" s="2134" t="s">
        <v>23</v>
      </c>
      <c r="G13" s="2136" t="s">
        <v>141</v>
      </c>
      <c r="H13" s="2926"/>
      <c r="I13" s="615" t="s">
        <v>142</v>
      </c>
      <c r="J13" s="615" t="s">
        <v>142</v>
      </c>
      <c r="K13" s="615" t="s">
        <v>142</v>
      </c>
      <c r="L13" s="615" t="s">
        <v>142</v>
      </c>
      <c r="M13" s="616" t="s">
        <v>142</v>
      </c>
      <c r="N13" s="616" t="s">
        <v>404</v>
      </c>
      <c r="O13" s="616" t="s">
        <v>405</v>
      </c>
      <c r="P13" s="617" t="s">
        <v>406</v>
      </c>
      <c r="Q13" s="617" t="s">
        <v>407</v>
      </c>
      <c r="R13" s="617" t="s">
        <v>408</v>
      </c>
      <c r="S13" s="618" t="s">
        <v>409</v>
      </c>
      <c r="T13" s="601"/>
      <c r="U13" s="1151">
        <f t="shared" si="0"/>
        <v>0.5</v>
      </c>
      <c r="V13" s="1152">
        <f t="shared" ref="V13:V76" si="1">U13*28.3495</f>
        <v>14.17475</v>
      </c>
      <c r="W13" s="108"/>
      <c r="X13" s="782" t="s">
        <v>141</v>
      </c>
      <c r="Y13" s="668" t="s">
        <v>141</v>
      </c>
      <c r="Z13" s="668" t="s">
        <v>141</v>
      </c>
      <c r="AA13" s="668" t="s">
        <v>141</v>
      </c>
      <c r="AB13" s="668" t="s">
        <v>141</v>
      </c>
      <c r="AC13" s="668" t="s">
        <v>141</v>
      </c>
      <c r="AD13" s="668" t="s">
        <v>141</v>
      </c>
      <c r="AE13" s="668" t="s">
        <v>141</v>
      </c>
      <c r="AF13" s="668" t="s">
        <v>141</v>
      </c>
      <c r="AG13" s="668" t="s">
        <v>141</v>
      </c>
      <c r="AH13" s="783" t="s">
        <v>141</v>
      </c>
      <c r="AI13" s="568" t="s">
        <v>1152</v>
      </c>
      <c r="AJ13" s="615" t="s">
        <v>141</v>
      </c>
      <c r="AK13" s="615" t="s">
        <v>141</v>
      </c>
      <c r="AL13" s="784" t="s">
        <v>141</v>
      </c>
      <c r="AM13" s="784" t="s">
        <v>141</v>
      </c>
      <c r="AN13" s="784" t="s">
        <v>141</v>
      </c>
      <c r="AO13" s="784" t="s">
        <v>141</v>
      </c>
      <c r="AP13" s="769"/>
      <c r="AQ13" s="4075" t="s">
        <v>1153</v>
      </c>
      <c r="AR13" s="4075"/>
      <c r="AS13" s="4075"/>
      <c r="AT13" s="2462"/>
    </row>
    <row r="14" spans="1:46" ht="14.25" customHeight="1">
      <c r="A14" s="601"/>
      <c r="B14" s="2718">
        <v>0.14000000000000001</v>
      </c>
      <c r="C14" s="2434" t="s">
        <v>416</v>
      </c>
      <c r="D14" s="2435"/>
      <c r="E14" s="619"/>
      <c r="F14" s="620"/>
      <c r="G14" s="621">
        <f>453.6*(E14+F14/16)</f>
        <v>0</v>
      </c>
      <c r="H14" s="661"/>
      <c r="I14" s="622">
        <v>6.8</v>
      </c>
      <c r="J14" s="622">
        <v>0.2</v>
      </c>
      <c r="K14" s="623">
        <v>0.01</v>
      </c>
      <c r="L14" s="624">
        <v>9.6</v>
      </c>
      <c r="M14" s="625">
        <v>0.4</v>
      </c>
      <c r="N14" s="214">
        <v>1300</v>
      </c>
      <c r="O14" s="215">
        <v>300</v>
      </c>
      <c r="P14" s="215">
        <v>3.1E-2</v>
      </c>
      <c r="Q14" s="215">
        <v>0.33400000000000002</v>
      </c>
      <c r="R14" s="215">
        <v>0.155</v>
      </c>
      <c r="S14" s="216">
        <v>6.7000000000000004E-2</v>
      </c>
      <c r="T14" s="601"/>
      <c r="U14" s="1151">
        <f t="shared" si="0"/>
        <v>0.6</v>
      </c>
      <c r="V14" s="1152">
        <f t="shared" si="1"/>
        <v>17.009699999999999</v>
      </c>
      <c r="W14" s="108"/>
      <c r="X14" s="785">
        <f t="shared" ref="X14:X20" si="2">G14*I14/100</f>
        <v>0</v>
      </c>
      <c r="Y14" s="786">
        <f t="shared" ref="Y14:Y20" si="3">G14*J14/100</f>
        <v>0</v>
      </c>
      <c r="Z14" s="786">
        <f t="shared" ref="Z14:Z20" si="4">G14*K14/100</f>
        <v>0</v>
      </c>
      <c r="AA14" s="786">
        <f t="shared" ref="AA14:AA20" si="5">G14*(L14-I14)/100</f>
        <v>0</v>
      </c>
      <c r="AB14" s="786">
        <f t="shared" ref="AB14:AB20" si="6">G14*M14/1200</f>
        <v>0</v>
      </c>
      <c r="AC14" s="787">
        <f t="shared" ref="AC14:AD20" si="7">$G14*N14/100</f>
        <v>0</v>
      </c>
      <c r="AD14" s="787">
        <f t="shared" si="7"/>
        <v>0</v>
      </c>
      <c r="AE14" s="787">
        <f t="shared" ref="AE14:AH20" si="8">$G14*P14/100</f>
        <v>0</v>
      </c>
      <c r="AF14" s="787">
        <f t="shared" si="8"/>
        <v>0</v>
      </c>
      <c r="AG14" s="787">
        <f t="shared" si="8"/>
        <v>0</v>
      </c>
      <c r="AH14" s="788">
        <f t="shared" si="8"/>
        <v>0</v>
      </c>
      <c r="AI14" s="568" t="s">
        <v>407</v>
      </c>
      <c r="AJ14" s="786">
        <f t="shared" ref="AJ14:AK20" si="9">X14*AM14/1200</f>
        <v>0</v>
      </c>
      <c r="AK14" s="786">
        <f t="shared" si="9"/>
        <v>0</v>
      </c>
      <c r="AL14" s="789">
        <f t="shared" ref="AL14:AL20" si="10">AA14*AO14/1200</f>
        <v>0</v>
      </c>
      <c r="AM14" s="769">
        <v>25</v>
      </c>
      <c r="AN14" s="769">
        <v>15</v>
      </c>
      <c r="AO14" s="769">
        <v>35</v>
      </c>
      <c r="AP14" s="769"/>
      <c r="AQ14" s="4075" t="s">
        <v>394</v>
      </c>
      <c r="AR14" s="4075"/>
      <c r="AS14" s="4075"/>
      <c r="AT14" s="2462"/>
    </row>
    <row r="15" spans="1:46" ht="14.25" customHeight="1">
      <c r="A15" s="601"/>
      <c r="B15" s="2718">
        <v>0.1</v>
      </c>
      <c r="C15" s="2434" t="s">
        <v>417</v>
      </c>
      <c r="D15" s="2435"/>
      <c r="E15" s="619"/>
      <c r="F15" s="620"/>
      <c r="G15" s="621">
        <f t="shared" ref="G15:G20" si="11">453.6*(E15+F15/16)</f>
        <v>0</v>
      </c>
      <c r="H15" s="661"/>
      <c r="I15" s="622">
        <v>4.5</v>
      </c>
      <c r="J15" s="622">
        <v>0.06</v>
      </c>
      <c r="K15" s="623">
        <v>0.01</v>
      </c>
      <c r="L15" s="624">
        <v>9.6</v>
      </c>
      <c r="M15" s="625">
        <v>1.8</v>
      </c>
      <c r="N15" s="214">
        <v>1300</v>
      </c>
      <c r="O15" s="215">
        <v>400</v>
      </c>
      <c r="P15" s="215">
        <v>7.0000000000000007E-2</v>
      </c>
      <c r="Q15" s="215">
        <v>0.98</v>
      </c>
      <c r="R15" s="215">
        <v>0.27300000000000002</v>
      </c>
      <c r="S15" s="216">
        <v>0.14000000000000001</v>
      </c>
      <c r="T15" s="601"/>
      <c r="U15" s="1151">
        <f t="shared" si="0"/>
        <v>0.7</v>
      </c>
      <c r="V15" s="1152">
        <f t="shared" si="1"/>
        <v>19.844649999999998</v>
      </c>
      <c r="W15" s="108"/>
      <c r="X15" s="785">
        <f t="shared" si="2"/>
        <v>0</v>
      </c>
      <c r="Y15" s="786">
        <f t="shared" si="3"/>
        <v>0</v>
      </c>
      <c r="Z15" s="786">
        <f t="shared" si="4"/>
        <v>0</v>
      </c>
      <c r="AA15" s="786">
        <f t="shared" si="5"/>
        <v>0</v>
      </c>
      <c r="AB15" s="786">
        <f t="shared" si="6"/>
        <v>0</v>
      </c>
      <c r="AC15" s="787">
        <f t="shared" si="7"/>
        <v>0</v>
      </c>
      <c r="AD15" s="787">
        <f t="shared" si="7"/>
        <v>0</v>
      </c>
      <c r="AE15" s="787">
        <f t="shared" si="8"/>
        <v>0</v>
      </c>
      <c r="AF15" s="787">
        <f t="shared" si="8"/>
        <v>0</v>
      </c>
      <c r="AG15" s="787">
        <f t="shared" si="8"/>
        <v>0</v>
      </c>
      <c r="AH15" s="788">
        <f t="shared" si="8"/>
        <v>0</v>
      </c>
      <c r="AI15" s="568" t="s">
        <v>408</v>
      </c>
      <c r="AJ15" s="786">
        <f t="shared" si="9"/>
        <v>0</v>
      </c>
      <c r="AK15" s="786">
        <f t="shared" si="9"/>
        <v>0</v>
      </c>
      <c r="AL15" s="789">
        <f t="shared" si="10"/>
        <v>0</v>
      </c>
      <c r="AM15" s="769">
        <v>45</v>
      </c>
      <c r="AN15" s="769">
        <v>12</v>
      </c>
      <c r="AO15" s="769">
        <v>40</v>
      </c>
      <c r="AP15" s="769"/>
      <c r="AQ15" s="4075" t="s">
        <v>395</v>
      </c>
      <c r="AR15" s="4075"/>
      <c r="AS15" s="4075"/>
      <c r="AT15" s="2462"/>
    </row>
    <row r="16" spans="1:46" ht="14.25" customHeight="1">
      <c r="A16" s="601"/>
      <c r="B16" s="2719">
        <v>0.08</v>
      </c>
      <c r="C16" s="2434" t="s">
        <v>418</v>
      </c>
      <c r="D16" s="2436"/>
      <c r="E16" s="619"/>
      <c r="F16" s="620"/>
      <c r="G16" s="621">
        <f t="shared" si="11"/>
        <v>0</v>
      </c>
      <c r="H16" s="661"/>
      <c r="I16" s="622">
        <v>1.8</v>
      </c>
      <c r="J16" s="623">
        <v>0.1</v>
      </c>
      <c r="K16" s="623">
        <v>0.01</v>
      </c>
      <c r="L16" s="626">
        <v>3</v>
      </c>
      <c r="M16" s="627">
        <v>1</v>
      </c>
      <c r="N16" s="2168">
        <v>1000</v>
      </c>
      <c r="O16" s="215">
        <v>260</v>
      </c>
      <c r="P16" s="215">
        <v>0.02</v>
      </c>
      <c r="Q16" s="215">
        <v>0.32</v>
      </c>
      <c r="R16" s="215">
        <v>0.246</v>
      </c>
      <c r="S16" s="216">
        <v>7.0000000000000007E-2</v>
      </c>
      <c r="T16" s="601"/>
      <c r="U16" s="1151">
        <f t="shared" si="0"/>
        <v>0.79999999999999993</v>
      </c>
      <c r="V16" s="1152">
        <f t="shared" si="1"/>
        <v>22.679599999999997</v>
      </c>
      <c r="W16" s="108"/>
      <c r="X16" s="785">
        <f t="shared" si="2"/>
        <v>0</v>
      </c>
      <c r="Y16" s="786">
        <f t="shared" si="3"/>
        <v>0</v>
      </c>
      <c r="Z16" s="786">
        <f t="shared" si="4"/>
        <v>0</v>
      </c>
      <c r="AA16" s="786">
        <f t="shared" si="5"/>
        <v>0</v>
      </c>
      <c r="AB16" s="786">
        <f t="shared" si="6"/>
        <v>0</v>
      </c>
      <c r="AC16" s="787">
        <f t="shared" si="7"/>
        <v>0</v>
      </c>
      <c r="AD16" s="787">
        <f t="shared" si="7"/>
        <v>0</v>
      </c>
      <c r="AE16" s="787">
        <f t="shared" si="8"/>
        <v>0</v>
      </c>
      <c r="AF16" s="787">
        <f t="shared" si="8"/>
        <v>0</v>
      </c>
      <c r="AG16" s="787">
        <f t="shared" si="8"/>
        <v>0</v>
      </c>
      <c r="AH16" s="788">
        <f t="shared" si="8"/>
        <v>0</v>
      </c>
      <c r="AI16" s="568" t="s">
        <v>409</v>
      </c>
      <c r="AJ16" s="786">
        <f t="shared" si="9"/>
        <v>0</v>
      </c>
      <c r="AK16" s="786">
        <f t="shared" si="9"/>
        <v>0</v>
      </c>
      <c r="AL16" s="789">
        <f t="shared" si="10"/>
        <v>0</v>
      </c>
      <c r="AM16" s="769">
        <v>40</v>
      </c>
      <c r="AN16" s="769">
        <v>11</v>
      </c>
      <c r="AO16" s="769">
        <v>24</v>
      </c>
      <c r="AP16" s="769"/>
      <c r="AQ16" s="4092" t="s">
        <v>1154</v>
      </c>
      <c r="AR16" s="4092"/>
      <c r="AS16" s="4092"/>
      <c r="AT16" s="2463"/>
    </row>
    <row r="17" spans="1:46" ht="14.25" customHeight="1">
      <c r="A17" s="601"/>
      <c r="B17" s="2719">
        <v>0.05</v>
      </c>
      <c r="C17" s="2434" t="s">
        <v>419</v>
      </c>
      <c r="D17" s="2436"/>
      <c r="E17" s="619"/>
      <c r="F17" s="620"/>
      <c r="G17" s="621">
        <f t="shared" si="11"/>
        <v>0</v>
      </c>
      <c r="H17" s="661"/>
      <c r="I17" s="623">
        <v>1.5</v>
      </c>
      <c r="J17" s="623">
        <v>0.1</v>
      </c>
      <c r="K17" s="623">
        <v>0.01</v>
      </c>
      <c r="L17" s="626">
        <v>3.5</v>
      </c>
      <c r="M17" s="2169">
        <v>1</v>
      </c>
      <c r="N17" s="2168">
        <v>1000</v>
      </c>
      <c r="O17" s="215">
        <v>212</v>
      </c>
      <c r="P17" s="215">
        <v>4.8000000000000001E-2</v>
      </c>
      <c r="Q17" s="215">
        <v>0.48699999999999999</v>
      </c>
      <c r="R17" s="215">
        <v>0.155</v>
      </c>
      <c r="S17" s="216">
        <v>0.218</v>
      </c>
      <c r="T17" s="601"/>
      <c r="U17" s="1151">
        <f t="shared" si="0"/>
        <v>0.89999999999999991</v>
      </c>
      <c r="V17" s="1152">
        <f t="shared" si="1"/>
        <v>25.514549999999996</v>
      </c>
      <c r="W17" s="108"/>
      <c r="X17" s="785">
        <f t="shared" si="2"/>
        <v>0</v>
      </c>
      <c r="Y17" s="786">
        <f t="shared" si="3"/>
        <v>0</v>
      </c>
      <c r="Z17" s="786">
        <f t="shared" si="4"/>
        <v>0</v>
      </c>
      <c r="AA17" s="786">
        <f t="shared" si="5"/>
        <v>0</v>
      </c>
      <c r="AB17" s="786">
        <f t="shared" si="6"/>
        <v>0</v>
      </c>
      <c r="AC17" s="787">
        <f t="shared" si="7"/>
        <v>0</v>
      </c>
      <c r="AD17" s="787">
        <f t="shared" si="7"/>
        <v>0</v>
      </c>
      <c r="AE17" s="787">
        <f t="shared" si="8"/>
        <v>0</v>
      </c>
      <c r="AF17" s="787">
        <f t="shared" si="8"/>
        <v>0</v>
      </c>
      <c r="AG17" s="787">
        <f t="shared" si="8"/>
        <v>0</v>
      </c>
      <c r="AH17" s="788">
        <f t="shared" si="8"/>
        <v>0</v>
      </c>
      <c r="AI17" s="568" t="s">
        <v>1155</v>
      </c>
      <c r="AJ17" s="786">
        <f t="shared" si="9"/>
        <v>0</v>
      </c>
      <c r="AK17" s="786">
        <f t="shared" si="9"/>
        <v>0</v>
      </c>
      <c r="AL17" s="789">
        <f t="shared" si="10"/>
        <v>0</v>
      </c>
      <c r="AM17" s="769">
        <v>21</v>
      </c>
      <c r="AN17" s="769">
        <v>21</v>
      </c>
      <c r="AO17" s="769">
        <v>32</v>
      </c>
      <c r="AP17" s="769"/>
      <c r="AQ17" s="4075" t="s">
        <v>1156</v>
      </c>
      <c r="AR17" s="4075"/>
      <c r="AS17" s="4075"/>
      <c r="AT17" s="2462"/>
    </row>
    <row r="18" spans="1:46" ht="14.25" customHeight="1">
      <c r="A18" s="601"/>
      <c r="B18" s="2719">
        <v>0.18</v>
      </c>
      <c r="C18" s="2434" t="s">
        <v>420</v>
      </c>
      <c r="D18" s="2436"/>
      <c r="E18" s="619"/>
      <c r="F18" s="620"/>
      <c r="G18" s="621">
        <f t="shared" si="11"/>
        <v>0</v>
      </c>
      <c r="H18" s="661"/>
      <c r="I18" s="622">
        <v>4.8</v>
      </c>
      <c r="J18" s="622">
        <v>0.12</v>
      </c>
      <c r="K18" s="623">
        <v>0.01</v>
      </c>
      <c r="L18" s="628">
        <v>18</v>
      </c>
      <c r="M18" s="625">
        <v>3.2</v>
      </c>
      <c r="N18" s="2168">
        <v>1500</v>
      </c>
      <c r="O18" s="215">
        <v>400</v>
      </c>
      <c r="P18" s="215">
        <v>0.09</v>
      </c>
      <c r="Q18" s="215">
        <v>0.7</v>
      </c>
      <c r="R18" s="215">
        <v>0.6</v>
      </c>
      <c r="S18" s="216">
        <v>0.09</v>
      </c>
      <c r="T18" s="601"/>
      <c r="U18" s="1151">
        <f t="shared" si="0"/>
        <v>0.99999999999999989</v>
      </c>
      <c r="V18" s="1152">
        <f t="shared" si="1"/>
        <v>28.349499999999995</v>
      </c>
      <c r="W18" s="108"/>
      <c r="X18" s="785">
        <f t="shared" si="2"/>
        <v>0</v>
      </c>
      <c r="Y18" s="786">
        <f t="shared" si="3"/>
        <v>0</v>
      </c>
      <c r="Z18" s="786">
        <f t="shared" si="4"/>
        <v>0</v>
      </c>
      <c r="AA18" s="786">
        <f t="shared" si="5"/>
        <v>0</v>
      </c>
      <c r="AB18" s="786">
        <f t="shared" si="6"/>
        <v>0</v>
      </c>
      <c r="AC18" s="787">
        <f t="shared" si="7"/>
        <v>0</v>
      </c>
      <c r="AD18" s="787">
        <f t="shared" si="7"/>
        <v>0</v>
      </c>
      <c r="AE18" s="787">
        <f t="shared" si="8"/>
        <v>0</v>
      </c>
      <c r="AF18" s="787">
        <f t="shared" si="8"/>
        <v>0</v>
      </c>
      <c r="AG18" s="787">
        <f t="shared" si="8"/>
        <v>0</v>
      </c>
      <c r="AH18" s="788">
        <f t="shared" si="8"/>
        <v>0</v>
      </c>
      <c r="AI18" s="568" t="s">
        <v>1157</v>
      </c>
      <c r="AJ18" s="786">
        <f t="shared" si="9"/>
        <v>0</v>
      </c>
      <c r="AK18" s="786">
        <f t="shared" si="9"/>
        <v>0</v>
      </c>
      <c r="AL18" s="789">
        <f t="shared" si="10"/>
        <v>0</v>
      </c>
      <c r="AM18" s="769">
        <v>6</v>
      </c>
      <c r="AN18" s="769">
        <v>20</v>
      </c>
      <c r="AO18" s="769">
        <v>75</v>
      </c>
      <c r="AP18" s="769"/>
      <c r="AQ18" s="4075" t="s">
        <v>1158</v>
      </c>
      <c r="AR18" s="4075"/>
      <c r="AS18" s="4075"/>
      <c r="AT18" s="2462"/>
    </row>
    <row r="19" spans="1:46" ht="14.25" customHeight="1">
      <c r="A19" s="601"/>
      <c r="B19" s="2719">
        <v>0.2</v>
      </c>
      <c r="C19" s="2434" t="s">
        <v>421</v>
      </c>
      <c r="D19" s="2436"/>
      <c r="E19" s="619"/>
      <c r="F19" s="620"/>
      <c r="G19" s="621">
        <f t="shared" si="11"/>
        <v>0</v>
      </c>
      <c r="H19" s="661"/>
      <c r="I19" s="622">
        <v>0.8</v>
      </c>
      <c r="J19" s="622">
        <v>0.1</v>
      </c>
      <c r="K19" s="623">
        <v>0.01</v>
      </c>
      <c r="L19" s="626">
        <v>17.5</v>
      </c>
      <c r="M19" s="625">
        <v>2</v>
      </c>
      <c r="N19" s="214">
        <v>1500</v>
      </c>
      <c r="O19" s="215">
        <v>500</v>
      </c>
      <c r="P19" s="215">
        <v>0.08</v>
      </c>
      <c r="Q19" s="215">
        <v>1.05</v>
      </c>
      <c r="R19" s="215">
        <v>0.29599999999999999</v>
      </c>
      <c r="S19" s="216">
        <v>0.29499999999999998</v>
      </c>
      <c r="T19" s="601"/>
      <c r="U19" s="1151">
        <f t="shared" si="0"/>
        <v>1.0999999999999999</v>
      </c>
      <c r="V19" s="1152">
        <f>U19*28.3495</f>
        <v>31.184449999999995</v>
      </c>
      <c r="W19" s="108"/>
      <c r="X19" s="785">
        <f t="shared" si="2"/>
        <v>0</v>
      </c>
      <c r="Y19" s="786">
        <f t="shared" si="3"/>
        <v>0</v>
      </c>
      <c r="Z19" s="786">
        <f t="shared" si="4"/>
        <v>0</v>
      </c>
      <c r="AA19" s="786">
        <f t="shared" si="5"/>
        <v>0</v>
      </c>
      <c r="AB19" s="786">
        <f t="shared" si="6"/>
        <v>0</v>
      </c>
      <c r="AC19" s="787">
        <f t="shared" si="7"/>
        <v>0</v>
      </c>
      <c r="AD19" s="787">
        <f t="shared" si="7"/>
        <v>0</v>
      </c>
      <c r="AE19" s="787">
        <f t="shared" si="8"/>
        <v>0</v>
      </c>
      <c r="AF19" s="787">
        <f t="shared" si="8"/>
        <v>0</v>
      </c>
      <c r="AG19" s="787">
        <f t="shared" si="8"/>
        <v>0</v>
      </c>
      <c r="AH19" s="788">
        <f t="shared" si="8"/>
        <v>0</v>
      </c>
      <c r="AI19" s="568" t="s">
        <v>1159</v>
      </c>
      <c r="AJ19" s="786">
        <f t="shared" si="9"/>
        <v>0</v>
      </c>
      <c r="AK19" s="786">
        <f t="shared" si="9"/>
        <v>0</v>
      </c>
      <c r="AL19" s="789">
        <f t="shared" si="10"/>
        <v>0</v>
      </c>
      <c r="AM19" s="769">
        <v>13</v>
      </c>
      <c r="AN19" s="769">
        <v>30</v>
      </c>
      <c r="AO19" s="769">
        <v>65</v>
      </c>
      <c r="AP19" s="769"/>
      <c r="AQ19" s="4092" t="s">
        <v>1160</v>
      </c>
      <c r="AR19" s="4092"/>
      <c r="AS19" s="4092"/>
      <c r="AT19" s="2462"/>
    </row>
    <row r="20" spans="1:46" ht="14.25" customHeight="1">
      <c r="A20" s="601"/>
      <c r="B20" s="2720"/>
      <c r="C20" s="2434" t="s">
        <v>422</v>
      </c>
      <c r="D20" s="215"/>
      <c r="E20" s="629"/>
      <c r="F20" s="630"/>
      <c r="G20" s="621">
        <f t="shared" si="11"/>
        <v>0</v>
      </c>
      <c r="H20" s="615"/>
      <c r="I20" s="622"/>
      <c r="J20" s="622"/>
      <c r="K20" s="622"/>
      <c r="L20" s="622"/>
      <c r="M20" s="622"/>
      <c r="N20" s="622"/>
      <c r="O20" s="622"/>
      <c r="P20" s="215"/>
      <c r="Q20" s="215"/>
      <c r="R20" s="215"/>
      <c r="S20" s="216"/>
      <c r="T20" s="601"/>
      <c r="U20" s="1151">
        <f t="shared" si="0"/>
        <v>1.2</v>
      </c>
      <c r="V20" s="1152">
        <f t="shared" si="1"/>
        <v>34.019399999999997</v>
      </c>
      <c r="W20" s="108"/>
      <c r="X20" s="785">
        <f t="shared" si="2"/>
        <v>0</v>
      </c>
      <c r="Y20" s="786">
        <f t="shared" si="3"/>
        <v>0</v>
      </c>
      <c r="Z20" s="786">
        <f t="shared" si="4"/>
        <v>0</v>
      </c>
      <c r="AA20" s="786">
        <f t="shared" si="5"/>
        <v>0</v>
      </c>
      <c r="AB20" s="786">
        <f t="shared" si="6"/>
        <v>0</v>
      </c>
      <c r="AC20" s="787">
        <f t="shared" si="7"/>
        <v>0</v>
      </c>
      <c r="AD20" s="787">
        <f t="shared" si="7"/>
        <v>0</v>
      </c>
      <c r="AE20" s="787">
        <f t="shared" si="8"/>
        <v>0</v>
      </c>
      <c r="AF20" s="787">
        <f t="shared" si="8"/>
        <v>0</v>
      </c>
      <c r="AG20" s="787">
        <f t="shared" si="8"/>
        <v>0</v>
      </c>
      <c r="AH20" s="788">
        <f t="shared" si="8"/>
        <v>0</v>
      </c>
      <c r="AI20" s="669"/>
      <c r="AJ20" s="786">
        <f t="shared" si="9"/>
        <v>0</v>
      </c>
      <c r="AK20" s="786">
        <f t="shared" si="9"/>
        <v>0</v>
      </c>
      <c r="AL20" s="789">
        <f t="shared" si="10"/>
        <v>0</v>
      </c>
      <c r="AM20" s="769"/>
      <c r="AN20" s="769"/>
      <c r="AO20" s="1880"/>
      <c r="AP20" s="769"/>
      <c r="AQ20" s="769"/>
      <c r="AR20" s="1141"/>
      <c r="AS20" s="1141"/>
      <c r="AT20" s="1141"/>
    </row>
    <row r="21" spans="1:46" ht="14.25" customHeight="1">
      <c r="A21" s="601"/>
      <c r="B21" s="631"/>
      <c r="C21" s="4131" t="s">
        <v>276</v>
      </c>
      <c r="D21" s="4132"/>
      <c r="E21" s="4132"/>
      <c r="F21" s="4132"/>
      <c r="G21" s="4132"/>
      <c r="H21" s="4132"/>
      <c r="I21" s="4132"/>
      <c r="J21" s="4132"/>
      <c r="K21" s="4132"/>
      <c r="L21" s="4132"/>
      <c r="M21" s="4132"/>
      <c r="N21" s="4132"/>
      <c r="O21" s="4132"/>
      <c r="P21" s="4132"/>
      <c r="Q21" s="4132"/>
      <c r="R21" s="4132"/>
      <c r="S21" s="4133"/>
      <c r="T21" s="598"/>
      <c r="U21" s="1151">
        <f t="shared" si="0"/>
        <v>1.3</v>
      </c>
      <c r="V21" s="1152">
        <f t="shared" si="1"/>
        <v>36.854349999999997</v>
      </c>
      <c r="W21" s="114"/>
      <c r="X21" s="4096" t="s">
        <v>1537</v>
      </c>
      <c r="Y21" s="4097"/>
      <c r="Z21" s="4097"/>
      <c r="AA21" s="4097"/>
      <c r="AB21" s="4097"/>
      <c r="AC21" s="4097"/>
      <c r="AD21" s="4097"/>
      <c r="AE21" s="4097"/>
      <c r="AF21" s="4097"/>
      <c r="AG21" s="4097"/>
      <c r="AH21" s="4097"/>
      <c r="AI21" s="4097"/>
      <c r="AJ21" s="4097"/>
      <c r="AK21" s="4097"/>
      <c r="AL21" s="4097"/>
      <c r="AM21" s="4097"/>
      <c r="AN21" s="4097"/>
      <c r="AO21" s="4097"/>
      <c r="AP21" s="4097"/>
      <c r="AQ21" s="4097"/>
      <c r="AR21" s="4097"/>
      <c r="AS21" s="4097"/>
      <c r="AT21" s="4097"/>
    </row>
    <row r="22" spans="1:46" ht="14.25" customHeight="1">
      <c r="A22" s="601"/>
      <c r="B22" s="1620" t="s">
        <v>398</v>
      </c>
      <c r="C22" s="633"/>
      <c r="D22" s="634" t="s">
        <v>423</v>
      </c>
      <c r="E22" s="4147" t="s">
        <v>139</v>
      </c>
      <c r="F22" s="4147"/>
      <c r="G22" s="2136" t="s">
        <v>139</v>
      </c>
      <c r="H22" s="634"/>
      <c r="I22" s="615" t="s">
        <v>400</v>
      </c>
      <c r="J22" s="635" t="s">
        <v>140</v>
      </c>
      <c r="K22" s="635" t="s">
        <v>401</v>
      </c>
      <c r="L22" s="635" t="s">
        <v>402</v>
      </c>
      <c r="M22" s="635" t="s">
        <v>403</v>
      </c>
      <c r="N22" s="616" t="s">
        <v>404</v>
      </c>
      <c r="O22" s="615" t="s">
        <v>405</v>
      </c>
      <c r="P22" s="2380" t="s">
        <v>406</v>
      </c>
      <c r="Q22" s="2380" t="s">
        <v>407</v>
      </c>
      <c r="R22" s="2380" t="s">
        <v>408</v>
      </c>
      <c r="S22" s="122" t="s">
        <v>409</v>
      </c>
      <c r="T22" s="601"/>
      <c r="U22" s="1151">
        <f t="shared" si="0"/>
        <v>1.4000000000000001</v>
      </c>
      <c r="V22" s="1152">
        <f t="shared" si="1"/>
        <v>39.689300000000003</v>
      </c>
      <c r="W22" s="108"/>
      <c r="X22" s="790" t="s">
        <v>400</v>
      </c>
      <c r="Y22" s="635" t="s">
        <v>140</v>
      </c>
      <c r="Z22" s="635" t="s">
        <v>401</v>
      </c>
      <c r="AA22" s="635" t="s">
        <v>402</v>
      </c>
      <c r="AB22" s="635" t="s">
        <v>403</v>
      </c>
      <c r="AC22" s="615" t="s">
        <v>410</v>
      </c>
      <c r="AD22" s="615" t="s">
        <v>411</v>
      </c>
      <c r="AE22" s="2464" t="s">
        <v>406</v>
      </c>
      <c r="AF22" s="2464" t="s">
        <v>407</v>
      </c>
      <c r="AG22" s="2464" t="s">
        <v>408</v>
      </c>
      <c r="AH22" s="122" t="s">
        <v>409</v>
      </c>
      <c r="AI22" s="1881" t="s">
        <v>424</v>
      </c>
      <c r="AJ22" s="615" t="s">
        <v>412</v>
      </c>
      <c r="AK22" s="615" t="s">
        <v>413</v>
      </c>
      <c r="AL22" s="616" t="s">
        <v>414</v>
      </c>
      <c r="AM22" s="1882" t="s">
        <v>412</v>
      </c>
      <c r="AN22" s="1143" t="s">
        <v>413</v>
      </c>
      <c r="AO22" s="1143" t="s">
        <v>415</v>
      </c>
      <c r="AP22" s="769"/>
      <c r="AQ22" s="4095" t="s">
        <v>425</v>
      </c>
      <c r="AR22" s="4095"/>
      <c r="AS22" s="4095"/>
      <c r="AT22" s="4095"/>
    </row>
    <row r="23" spans="1:46" ht="14.25" customHeight="1">
      <c r="A23" s="601"/>
      <c r="B23" s="1620" t="s">
        <v>426</v>
      </c>
      <c r="C23" s="636"/>
      <c r="D23" s="614"/>
      <c r="E23" s="2133" t="s">
        <v>295</v>
      </c>
      <c r="F23" s="2134" t="s">
        <v>23</v>
      </c>
      <c r="G23" s="2136" t="s">
        <v>141</v>
      </c>
      <c r="H23" s="2381"/>
      <c r="I23" s="615" t="s">
        <v>142</v>
      </c>
      <c r="J23" s="615" t="s">
        <v>142</v>
      </c>
      <c r="K23" s="615" t="s">
        <v>142</v>
      </c>
      <c r="L23" s="615" t="s">
        <v>142</v>
      </c>
      <c r="M23" s="615" t="s">
        <v>142</v>
      </c>
      <c r="N23" s="4140" t="s">
        <v>397</v>
      </c>
      <c r="O23" s="4105"/>
      <c r="P23" s="4105"/>
      <c r="Q23" s="4105"/>
      <c r="R23" s="4105"/>
      <c r="S23" s="4141"/>
      <c r="T23" s="601"/>
      <c r="U23" s="1151">
        <f t="shared" si="0"/>
        <v>1.5000000000000002</v>
      </c>
      <c r="V23" s="1152">
        <f t="shared" si="1"/>
        <v>42.524250000000002</v>
      </c>
      <c r="W23" s="108"/>
      <c r="X23" s="790" t="s">
        <v>141</v>
      </c>
      <c r="Y23" s="615" t="s">
        <v>141</v>
      </c>
      <c r="Z23" s="615" t="s">
        <v>141</v>
      </c>
      <c r="AA23" s="615" t="s">
        <v>141</v>
      </c>
      <c r="AB23" s="615" t="s">
        <v>141</v>
      </c>
      <c r="AC23" s="615" t="s">
        <v>141</v>
      </c>
      <c r="AD23" s="615" t="s">
        <v>141</v>
      </c>
      <c r="AE23" s="615" t="s">
        <v>141</v>
      </c>
      <c r="AF23" s="615" t="s">
        <v>141</v>
      </c>
      <c r="AG23" s="615" t="s">
        <v>141</v>
      </c>
      <c r="AH23" s="791" t="s">
        <v>141</v>
      </c>
      <c r="AI23" s="1881" t="s">
        <v>433</v>
      </c>
      <c r="AJ23" s="615" t="s">
        <v>141</v>
      </c>
      <c r="AK23" s="615" t="s">
        <v>141</v>
      </c>
      <c r="AL23" s="616" t="s">
        <v>141</v>
      </c>
      <c r="AM23" s="1138"/>
      <c r="AN23" s="769"/>
      <c r="AO23" s="769"/>
      <c r="AP23" s="769"/>
      <c r="AQ23" s="4095"/>
      <c r="AR23" s="4095"/>
      <c r="AS23" s="4095"/>
      <c r="AT23" s="4095"/>
    </row>
    <row r="24" spans="1:46" ht="14.25" customHeight="1">
      <c r="A24" s="601"/>
      <c r="B24" s="637">
        <v>0.15</v>
      </c>
      <c r="C24" s="2437" t="s">
        <v>434</v>
      </c>
      <c r="D24" s="2436" t="s">
        <v>435</v>
      </c>
      <c r="E24" s="619"/>
      <c r="F24" s="620"/>
      <c r="G24" s="621">
        <f>453.6*(E24+F24/16)</f>
        <v>0</v>
      </c>
      <c r="H24" s="661">
        <f>B24*G24</f>
        <v>0</v>
      </c>
      <c r="I24" s="624">
        <v>9</v>
      </c>
      <c r="J24" s="624">
        <v>1.2</v>
      </c>
      <c r="K24" s="624">
        <v>0.08</v>
      </c>
      <c r="L24" s="628">
        <v>13</v>
      </c>
      <c r="M24" s="625">
        <v>0.8</v>
      </c>
      <c r="N24" s="215">
        <v>40</v>
      </c>
      <c r="O24" s="215">
        <v>107</v>
      </c>
      <c r="P24" s="215">
        <v>0.02</v>
      </c>
      <c r="Q24" s="215">
        <v>0.09</v>
      </c>
      <c r="R24" s="217">
        <v>6.0999999999999999E-2</v>
      </c>
      <c r="S24" s="216">
        <v>0.04</v>
      </c>
      <c r="T24" s="601"/>
      <c r="U24" s="1151">
        <f t="shared" si="0"/>
        <v>1.6000000000000003</v>
      </c>
      <c r="V24" s="1152">
        <f t="shared" si="1"/>
        <v>45.359200000000008</v>
      </c>
      <c r="W24" s="108"/>
      <c r="X24" s="785">
        <f t="shared" ref="X24:X55" si="12">G24*I24/100</f>
        <v>0</v>
      </c>
      <c r="Y24" s="786">
        <f t="shared" ref="Y24:Y55" si="13">G24*J24/100</f>
        <v>0</v>
      </c>
      <c r="Z24" s="786">
        <f t="shared" ref="Z24:Z55" si="14">G24*K24/100</f>
        <v>0</v>
      </c>
      <c r="AA24" s="786">
        <f t="shared" ref="AA24:AA55" si="15">G24*(L24-I24)/100</f>
        <v>0</v>
      </c>
      <c r="AB24" s="786">
        <f t="shared" ref="AB24:AB55" si="16">G24*M24/1200</f>
        <v>0</v>
      </c>
      <c r="AC24" s="787">
        <f t="shared" ref="AC24:AC55" si="17">$G24*N24/100</f>
        <v>0</v>
      </c>
      <c r="AD24" s="787">
        <f t="shared" ref="AD24:AD55" si="18">$G24*O24/100</f>
        <v>0</v>
      </c>
      <c r="AE24" s="787">
        <f t="shared" ref="AE24:AE55" si="19">$G24*P24/100</f>
        <v>0</v>
      </c>
      <c r="AF24" s="787">
        <f t="shared" ref="AF24:AF55" si="20">$G24*Q24/100</f>
        <v>0</v>
      </c>
      <c r="AG24" s="787">
        <f t="shared" ref="AG24:AG55" si="21">$G24*R24/100</f>
        <v>0</v>
      </c>
      <c r="AH24" s="788">
        <f t="shared" ref="AH24:AH55" si="22">$G24*S24/100</f>
        <v>0</v>
      </c>
      <c r="AI24" s="1883" t="s">
        <v>436</v>
      </c>
      <c r="AJ24" s="787">
        <f t="shared" ref="AJ24:AJ55" si="23">$G24*AM24/100</f>
        <v>0</v>
      </c>
      <c r="AK24" s="787">
        <f t="shared" ref="AK24:AK55" si="24">$G24*AN24/100</f>
        <v>0</v>
      </c>
      <c r="AL24" s="792">
        <f t="shared" ref="AL24:AL55" si="25">$G24*AO24/100</f>
        <v>0</v>
      </c>
      <c r="AM24" s="1138">
        <v>6</v>
      </c>
      <c r="AN24" s="769">
        <v>5</v>
      </c>
      <c r="AO24" s="769">
        <v>11</v>
      </c>
      <c r="AP24" s="769"/>
      <c r="AQ24" s="4129" t="s">
        <v>437</v>
      </c>
      <c r="AR24" s="4129"/>
      <c r="AS24" s="4129"/>
      <c r="AT24" s="4129"/>
    </row>
    <row r="25" spans="1:46" ht="14.25" customHeight="1">
      <c r="A25" s="601"/>
      <c r="B25" s="637">
        <v>0.15</v>
      </c>
      <c r="C25" s="2437"/>
      <c r="D25" s="2436" t="s">
        <v>438</v>
      </c>
      <c r="E25" s="619"/>
      <c r="F25" s="620"/>
      <c r="G25" s="621">
        <f t="shared" ref="G25:G90" si="26">453.6*(E25+F25/16)</f>
        <v>0</v>
      </c>
      <c r="H25" s="661">
        <f>B25*G25</f>
        <v>0</v>
      </c>
      <c r="I25" s="624">
        <v>10.4</v>
      </c>
      <c r="J25" s="624">
        <v>0.7</v>
      </c>
      <c r="K25" s="624">
        <v>0.08</v>
      </c>
      <c r="L25" s="628">
        <v>13</v>
      </c>
      <c r="M25" s="625">
        <v>0.8</v>
      </c>
      <c r="N25" s="215">
        <v>40</v>
      </c>
      <c r="O25" s="215">
        <v>107</v>
      </c>
      <c r="P25" s="215">
        <v>0.02</v>
      </c>
      <c r="Q25" s="215">
        <v>0.09</v>
      </c>
      <c r="R25" s="217">
        <v>6.0999999999999999E-2</v>
      </c>
      <c r="S25" s="216">
        <v>0.04</v>
      </c>
      <c r="T25" s="601"/>
      <c r="U25" s="1151">
        <f t="shared" si="0"/>
        <v>1.7000000000000004</v>
      </c>
      <c r="V25" s="1152">
        <f t="shared" si="1"/>
        <v>48.194150000000008</v>
      </c>
      <c r="W25" s="108"/>
      <c r="X25" s="785">
        <f t="shared" si="12"/>
        <v>0</v>
      </c>
      <c r="Y25" s="786">
        <f t="shared" si="13"/>
        <v>0</v>
      </c>
      <c r="Z25" s="786">
        <f t="shared" si="14"/>
        <v>0</v>
      </c>
      <c r="AA25" s="786">
        <f t="shared" si="15"/>
        <v>0</v>
      </c>
      <c r="AB25" s="786">
        <f t="shared" si="16"/>
        <v>0</v>
      </c>
      <c r="AC25" s="787">
        <f t="shared" si="17"/>
        <v>0</v>
      </c>
      <c r="AD25" s="787">
        <f t="shared" si="18"/>
        <v>0</v>
      </c>
      <c r="AE25" s="787">
        <f t="shared" si="19"/>
        <v>0</v>
      </c>
      <c r="AF25" s="787">
        <f t="shared" si="20"/>
        <v>0</v>
      </c>
      <c r="AG25" s="787">
        <f t="shared" si="21"/>
        <v>0</v>
      </c>
      <c r="AH25" s="788">
        <f t="shared" si="22"/>
        <v>0</v>
      </c>
      <c r="AI25" s="1883" t="s">
        <v>436</v>
      </c>
      <c r="AJ25" s="787">
        <f t="shared" si="23"/>
        <v>0</v>
      </c>
      <c r="AK25" s="787">
        <f t="shared" si="24"/>
        <v>0</v>
      </c>
      <c r="AL25" s="792">
        <f t="shared" si="25"/>
        <v>0</v>
      </c>
      <c r="AM25" s="1138">
        <v>6</v>
      </c>
      <c r="AN25" s="769">
        <v>5</v>
      </c>
      <c r="AO25" s="769">
        <v>11</v>
      </c>
      <c r="AP25" s="769"/>
      <c r="AQ25" s="1883" t="s">
        <v>1522</v>
      </c>
      <c r="AR25" s="1249" t="s">
        <v>439</v>
      </c>
      <c r="AS25" s="1249" t="s">
        <v>440</v>
      </c>
      <c r="AT25" s="1249" t="s">
        <v>441</v>
      </c>
    </row>
    <row r="26" spans="1:46" ht="14.25" customHeight="1">
      <c r="A26" s="601"/>
      <c r="B26" s="637">
        <v>0.18</v>
      </c>
      <c r="C26" s="2437"/>
      <c r="D26" s="2436" t="s">
        <v>442</v>
      </c>
      <c r="E26" s="619"/>
      <c r="F26" s="620"/>
      <c r="G26" s="621">
        <f t="shared" si="26"/>
        <v>0</v>
      </c>
      <c r="H26" s="661">
        <f>B26*G26</f>
        <v>0</v>
      </c>
      <c r="I26" s="624">
        <v>7.6</v>
      </c>
      <c r="J26" s="623">
        <v>1.3</v>
      </c>
      <c r="K26" s="623">
        <v>0.08</v>
      </c>
      <c r="L26" s="628">
        <v>14</v>
      </c>
      <c r="M26" s="627">
        <v>0.8</v>
      </c>
      <c r="N26" s="214">
        <v>40</v>
      </c>
      <c r="O26" s="215">
        <v>194</v>
      </c>
      <c r="P26" s="215">
        <v>0.03</v>
      </c>
      <c r="Q26" s="215">
        <v>0.1</v>
      </c>
      <c r="R26" s="217"/>
      <c r="S26" s="216"/>
      <c r="T26" s="601"/>
      <c r="U26" s="1151">
        <f t="shared" si="0"/>
        <v>1.8000000000000005</v>
      </c>
      <c r="V26" s="1152">
        <f t="shared" si="1"/>
        <v>51.029100000000014</v>
      </c>
      <c r="W26" s="108"/>
      <c r="X26" s="785">
        <f t="shared" si="12"/>
        <v>0</v>
      </c>
      <c r="Y26" s="786">
        <f t="shared" si="13"/>
        <v>0</v>
      </c>
      <c r="Z26" s="786">
        <f t="shared" si="14"/>
        <v>0</v>
      </c>
      <c r="AA26" s="786">
        <f t="shared" si="15"/>
        <v>0</v>
      </c>
      <c r="AB26" s="786">
        <f t="shared" si="16"/>
        <v>0</v>
      </c>
      <c r="AC26" s="787">
        <f t="shared" si="17"/>
        <v>0</v>
      </c>
      <c r="AD26" s="787">
        <f t="shared" si="18"/>
        <v>0</v>
      </c>
      <c r="AE26" s="787">
        <f t="shared" si="19"/>
        <v>0</v>
      </c>
      <c r="AF26" s="787">
        <f t="shared" si="20"/>
        <v>0</v>
      </c>
      <c r="AG26" s="787">
        <f t="shared" si="21"/>
        <v>0</v>
      </c>
      <c r="AH26" s="788">
        <f t="shared" si="22"/>
        <v>0</v>
      </c>
      <c r="AI26" s="1883"/>
      <c r="AJ26" s="787">
        <f t="shared" si="23"/>
        <v>0</v>
      </c>
      <c r="AK26" s="787">
        <f t="shared" si="24"/>
        <v>0</v>
      </c>
      <c r="AL26" s="792">
        <f t="shared" si="25"/>
        <v>0</v>
      </c>
      <c r="AM26" s="1138">
        <v>6</v>
      </c>
      <c r="AN26" s="769">
        <v>5</v>
      </c>
      <c r="AO26" s="769">
        <v>11</v>
      </c>
      <c r="AP26" s="769"/>
      <c r="AQ26" s="1249">
        <f>AR150+0.5</f>
        <v>0.5</v>
      </c>
      <c r="AR26" s="1250">
        <f t="shared" ref="AR26:AR47" si="27">$AQ26*0.853</f>
        <v>0.42649999999999999</v>
      </c>
      <c r="AS26" s="1250">
        <f t="shared" ref="AS26:AS47" si="28">$AQ26*0.893</f>
        <v>0.44650000000000001</v>
      </c>
      <c r="AT26" s="1250">
        <f t="shared" ref="AT26:AT47" si="29">$AQ26*0.653</f>
        <v>0.32650000000000001</v>
      </c>
    </row>
    <row r="27" spans="1:46" ht="14.25" customHeight="1">
      <c r="A27" s="601"/>
      <c r="B27" s="637">
        <v>0.12</v>
      </c>
      <c r="C27" s="2437" t="s">
        <v>443</v>
      </c>
      <c r="D27" s="2436" t="s">
        <v>444</v>
      </c>
      <c r="E27" s="619"/>
      <c r="F27" s="620"/>
      <c r="G27" s="621">
        <f t="shared" si="26"/>
        <v>0</v>
      </c>
      <c r="H27" s="661">
        <f t="shared" ref="H27:H58" si="30">B27*G27</f>
        <v>0</v>
      </c>
      <c r="I27" s="624">
        <v>9.24</v>
      </c>
      <c r="J27" s="624">
        <v>1.2</v>
      </c>
      <c r="K27" s="624">
        <v>0.1</v>
      </c>
      <c r="L27" s="628">
        <v>11</v>
      </c>
      <c r="M27" s="627">
        <v>0.3</v>
      </c>
      <c r="N27" s="215">
        <v>90</v>
      </c>
      <c r="O27" s="215">
        <v>260</v>
      </c>
      <c r="P27" s="215">
        <v>0.03</v>
      </c>
      <c r="Q27" s="215">
        <v>0.6</v>
      </c>
      <c r="R27" s="215">
        <v>0.24</v>
      </c>
      <c r="S27" s="216">
        <v>5.3999999999999999E-2</v>
      </c>
      <c r="T27" s="601"/>
      <c r="U27" s="1151">
        <f t="shared" si="0"/>
        <v>1.9000000000000006</v>
      </c>
      <c r="V27" s="1152">
        <f t="shared" si="1"/>
        <v>53.864050000000013</v>
      </c>
      <c r="W27" s="108"/>
      <c r="X27" s="785">
        <f t="shared" si="12"/>
        <v>0</v>
      </c>
      <c r="Y27" s="786">
        <f t="shared" si="13"/>
        <v>0</v>
      </c>
      <c r="Z27" s="786">
        <f t="shared" si="14"/>
        <v>0</v>
      </c>
      <c r="AA27" s="786">
        <f t="shared" si="15"/>
        <v>0</v>
      </c>
      <c r="AB27" s="786">
        <f t="shared" si="16"/>
        <v>0</v>
      </c>
      <c r="AC27" s="787">
        <f t="shared" si="17"/>
        <v>0</v>
      </c>
      <c r="AD27" s="787">
        <f t="shared" si="18"/>
        <v>0</v>
      </c>
      <c r="AE27" s="787">
        <f t="shared" si="19"/>
        <v>0</v>
      </c>
      <c r="AF27" s="787">
        <f t="shared" si="20"/>
        <v>0</v>
      </c>
      <c r="AG27" s="787">
        <f t="shared" si="21"/>
        <v>0</v>
      </c>
      <c r="AH27" s="788">
        <f t="shared" si="22"/>
        <v>0</v>
      </c>
      <c r="AI27" s="1883" t="s">
        <v>436</v>
      </c>
      <c r="AJ27" s="787">
        <f t="shared" si="23"/>
        <v>0</v>
      </c>
      <c r="AK27" s="787">
        <f t="shared" si="24"/>
        <v>0</v>
      </c>
      <c r="AL27" s="792">
        <f t="shared" si="25"/>
        <v>0</v>
      </c>
      <c r="AM27" s="1138">
        <v>13</v>
      </c>
      <c r="AN27" s="769">
        <v>10</v>
      </c>
      <c r="AO27" s="769">
        <v>23</v>
      </c>
      <c r="AP27" s="769"/>
      <c r="AQ27" s="1249">
        <f t="shared" ref="AQ27:AQ47" si="31">AQ26+0.5</f>
        <v>1</v>
      </c>
      <c r="AR27" s="1250">
        <f t="shared" si="27"/>
        <v>0.85299999999999998</v>
      </c>
      <c r="AS27" s="1250">
        <f t="shared" si="28"/>
        <v>0.89300000000000002</v>
      </c>
      <c r="AT27" s="1250">
        <f t="shared" si="29"/>
        <v>0.65300000000000002</v>
      </c>
    </row>
    <row r="28" spans="1:46" ht="14.25" customHeight="1">
      <c r="A28" s="601"/>
      <c r="B28" s="637">
        <v>0.74</v>
      </c>
      <c r="C28" s="2437"/>
      <c r="D28" s="2436" t="s">
        <v>445</v>
      </c>
      <c r="E28" s="619"/>
      <c r="F28" s="620"/>
      <c r="G28" s="621">
        <f t="shared" si="26"/>
        <v>0</v>
      </c>
      <c r="H28" s="661">
        <f t="shared" si="30"/>
        <v>0</v>
      </c>
      <c r="I28" s="624">
        <v>42</v>
      </c>
      <c r="J28" s="624">
        <v>3.6</v>
      </c>
      <c r="K28" s="623">
        <v>0.3</v>
      </c>
      <c r="L28" s="628">
        <v>63</v>
      </c>
      <c r="M28" s="627">
        <v>2</v>
      </c>
      <c r="N28" s="215">
        <v>540</v>
      </c>
      <c r="O28" s="215">
        <v>1800</v>
      </c>
      <c r="P28" s="215">
        <v>1.4999999999999999E-2</v>
      </c>
      <c r="Q28" s="215">
        <v>2.59</v>
      </c>
      <c r="R28" s="215">
        <v>0.51600000000000001</v>
      </c>
      <c r="S28" s="216">
        <v>0.14299999999999999</v>
      </c>
      <c r="T28" s="601"/>
      <c r="U28" s="1151">
        <f t="shared" si="0"/>
        <v>2.0000000000000004</v>
      </c>
      <c r="V28" s="1152">
        <f t="shared" si="1"/>
        <v>56.699000000000012</v>
      </c>
      <c r="W28" s="108"/>
      <c r="X28" s="785">
        <f t="shared" si="12"/>
        <v>0</v>
      </c>
      <c r="Y28" s="786">
        <f t="shared" si="13"/>
        <v>0</v>
      </c>
      <c r="Z28" s="786">
        <f t="shared" si="14"/>
        <v>0</v>
      </c>
      <c r="AA28" s="786">
        <f t="shared" si="15"/>
        <v>0</v>
      </c>
      <c r="AB28" s="786">
        <f t="shared" si="16"/>
        <v>0</v>
      </c>
      <c r="AC28" s="787">
        <f t="shared" si="17"/>
        <v>0</v>
      </c>
      <c r="AD28" s="787">
        <f t="shared" si="18"/>
        <v>0</v>
      </c>
      <c r="AE28" s="787">
        <f t="shared" si="19"/>
        <v>0</v>
      </c>
      <c r="AF28" s="787">
        <f t="shared" si="20"/>
        <v>0</v>
      </c>
      <c r="AG28" s="787">
        <f t="shared" si="21"/>
        <v>0</v>
      </c>
      <c r="AH28" s="788">
        <f t="shared" si="22"/>
        <v>0</v>
      </c>
      <c r="AI28" s="1883" t="s">
        <v>436</v>
      </c>
      <c r="AJ28" s="787">
        <f t="shared" si="23"/>
        <v>0</v>
      </c>
      <c r="AK28" s="787">
        <f t="shared" si="24"/>
        <v>0</v>
      </c>
      <c r="AL28" s="792">
        <f t="shared" si="25"/>
        <v>0</v>
      </c>
      <c r="AM28" s="1138">
        <v>61</v>
      </c>
      <c r="AN28" s="769">
        <v>60</v>
      </c>
      <c r="AO28" s="769">
        <v>150</v>
      </c>
      <c r="AP28" s="769"/>
      <c r="AQ28" s="1249">
        <f t="shared" si="31"/>
        <v>1.5</v>
      </c>
      <c r="AR28" s="1250">
        <f t="shared" si="27"/>
        <v>1.2795000000000001</v>
      </c>
      <c r="AS28" s="1250">
        <f t="shared" si="28"/>
        <v>1.3395000000000001</v>
      </c>
      <c r="AT28" s="1250">
        <f t="shared" si="29"/>
        <v>0.97950000000000004</v>
      </c>
    </row>
    <row r="29" spans="1:46" ht="14.25" customHeight="1">
      <c r="A29" s="601"/>
      <c r="B29" s="637">
        <v>0.15</v>
      </c>
      <c r="C29" s="2437" t="s">
        <v>446</v>
      </c>
      <c r="D29" s="2438" t="s">
        <v>798</v>
      </c>
      <c r="E29" s="619"/>
      <c r="F29" s="620"/>
      <c r="G29" s="621">
        <f t="shared" si="26"/>
        <v>0</v>
      </c>
      <c r="H29" s="661">
        <f t="shared" si="30"/>
        <v>0</v>
      </c>
      <c r="I29" s="624">
        <v>18</v>
      </c>
      <c r="J29" s="624">
        <v>0.35</v>
      </c>
      <c r="K29" s="624">
        <v>0.1</v>
      </c>
      <c r="L29" s="628">
        <v>22</v>
      </c>
      <c r="M29" s="625">
        <v>0.6</v>
      </c>
      <c r="N29" s="215">
        <v>200</v>
      </c>
      <c r="O29" s="215">
        <v>350</v>
      </c>
      <c r="P29" s="215">
        <v>3.1E-2</v>
      </c>
      <c r="Q29" s="215">
        <v>0.66500000000000004</v>
      </c>
      <c r="R29" s="215">
        <v>0.33400000000000002</v>
      </c>
      <c r="S29" s="216">
        <v>0.36699999999999999</v>
      </c>
      <c r="T29" s="709"/>
      <c r="U29" s="1151">
        <f t="shared" si="0"/>
        <v>2.1000000000000005</v>
      </c>
      <c r="V29" s="1152">
        <f t="shared" si="1"/>
        <v>59.533950000000011</v>
      </c>
      <c r="W29" s="108"/>
      <c r="X29" s="785">
        <f t="shared" si="12"/>
        <v>0</v>
      </c>
      <c r="Y29" s="786">
        <f t="shared" si="13"/>
        <v>0</v>
      </c>
      <c r="Z29" s="786">
        <f t="shared" si="14"/>
        <v>0</v>
      </c>
      <c r="AA29" s="786">
        <f t="shared" si="15"/>
        <v>0</v>
      </c>
      <c r="AB29" s="786">
        <f t="shared" si="16"/>
        <v>0</v>
      </c>
      <c r="AC29" s="787">
        <f t="shared" si="17"/>
        <v>0</v>
      </c>
      <c r="AD29" s="787">
        <f t="shared" si="18"/>
        <v>0</v>
      </c>
      <c r="AE29" s="787">
        <f t="shared" si="19"/>
        <v>0</v>
      </c>
      <c r="AF29" s="787">
        <f t="shared" si="20"/>
        <v>0</v>
      </c>
      <c r="AG29" s="787">
        <f t="shared" si="21"/>
        <v>0</v>
      </c>
      <c r="AH29" s="788">
        <f t="shared" si="22"/>
        <v>0</v>
      </c>
      <c r="AI29" s="1883" t="s">
        <v>436</v>
      </c>
      <c r="AJ29" s="787">
        <f t="shared" si="23"/>
        <v>0</v>
      </c>
      <c r="AK29" s="787">
        <f t="shared" si="24"/>
        <v>0</v>
      </c>
      <c r="AL29" s="792">
        <f t="shared" si="25"/>
        <v>0</v>
      </c>
      <c r="AM29" s="1138">
        <v>5</v>
      </c>
      <c r="AN29" s="769">
        <v>27</v>
      </c>
      <c r="AO29" s="769">
        <v>22</v>
      </c>
      <c r="AP29" s="769"/>
      <c r="AQ29" s="1249">
        <f t="shared" si="31"/>
        <v>2</v>
      </c>
      <c r="AR29" s="1250">
        <f t="shared" si="27"/>
        <v>1.706</v>
      </c>
      <c r="AS29" s="1250">
        <f t="shared" si="28"/>
        <v>1.786</v>
      </c>
      <c r="AT29" s="1250">
        <f t="shared" si="29"/>
        <v>1.306</v>
      </c>
    </row>
    <row r="30" spans="1:46" ht="14.25" customHeight="1">
      <c r="A30" s="601"/>
      <c r="B30" s="637">
        <v>0.95</v>
      </c>
      <c r="C30" s="2437"/>
      <c r="D30" s="2436" t="s">
        <v>445</v>
      </c>
      <c r="E30" s="619"/>
      <c r="F30" s="620"/>
      <c r="G30" s="621">
        <f t="shared" si="26"/>
        <v>0</v>
      </c>
      <c r="H30" s="661">
        <f t="shared" si="30"/>
        <v>0</v>
      </c>
      <c r="I30" s="624">
        <v>60</v>
      </c>
      <c r="J30" s="624">
        <v>1</v>
      </c>
      <c r="K30" s="623">
        <v>0.3</v>
      </c>
      <c r="L30" s="628">
        <v>88</v>
      </c>
      <c r="M30" s="627">
        <v>1.8</v>
      </c>
      <c r="N30" s="215">
        <v>800</v>
      </c>
      <c r="O30" s="215">
        <v>1400</v>
      </c>
      <c r="P30" s="215">
        <v>0.18</v>
      </c>
      <c r="Q30" s="215">
        <v>2.8</v>
      </c>
      <c r="R30" s="214">
        <v>1.2</v>
      </c>
      <c r="S30" s="216">
        <v>0.44</v>
      </c>
      <c r="T30" s="601"/>
      <c r="U30" s="1151">
        <f t="shared" si="0"/>
        <v>2.2000000000000006</v>
      </c>
      <c r="V30" s="1152">
        <f t="shared" si="1"/>
        <v>62.368900000000018</v>
      </c>
      <c r="W30" s="108"/>
      <c r="X30" s="785">
        <f t="shared" si="12"/>
        <v>0</v>
      </c>
      <c r="Y30" s="786">
        <f t="shared" si="13"/>
        <v>0</v>
      </c>
      <c r="Z30" s="786">
        <f t="shared" si="14"/>
        <v>0</v>
      </c>
      <c r="AA30" s="786">
        <f t="shared" si="15"/>
        <v>0</v>
      </c>
      <c r="AB30" s="786">
        <f t="shared" si="16"/>
        <v>0</v>
      </c>
      <c r="AC30" s="787">
        <f t="shared" si="17"/>
        <v>0</v>
      </c>
      <c r="AD30" s="787">
        <f t="shared" si="18"/>
        <v>0</v>
      </c>
      <c r="AE30" s="787">
        <f t="shared" si="19"/>
        <v>0</v>
      </c>
      <c r="AF30" s="787">
        <f t="shared" si="20"/>
        <v>0</v>
      </c>
      <c r="AG30" s="787">
        <f t="shared" si="21"/>
        <v>0</v>
      </c>
      <c r="AH30" s="788">
        <f t="shared" si="22"/>
        <v>0</v>
      </c>
      <c r="AI30" s="1883" t="s">
        <v>436</v>
      </c>
      <c r="AJ30" s="787">
        <f t="shared" si="23"/>
        <v>0</v>
      </c>
      <c r="AK30" s="787">
        <f t="shared" si="24"/>
        <v>0</v>
      </c>
      <c r="AL30" s="792">
        <f t="shared" si="25"/>
        <v>0</v>
      </c>
      <c r="AM30" s="1138">
        <v>22</v>
      </c>
      <c r="AN30" s="769">
        <v>108</v>
      </c>
      <c r="AO30" s="769">
        <v>74</v>
      </c>
      <c r="AP30" s="769"/>
      <c r="AQ30" s="1249">
        <f t="shared" si="31"/>
        <v>2.5</v>
      </c>
      <c r="AR30" s="1250">
        <f t="shared" si="27"/>
        <v>2.1324999999999998</v>
      </c>
      <c r="AS30" s="1250">
        <f t="shared" si="28"/>
        <v>2.2324999999999999</v>
      </c>
      <c r="AT30" s="1250">
        <f t="shared" si="29"/>
        <v>1.6325000000000001</v>
      </c>
    </row>
    <row r="31" spans="1:46" ht="14.25" customHeight="1">
      <c r="A31" s="601"/>
      <c r="B31" s="637">
        <v>0.13</v>
      </c>
      <c r="C31" s="2437" t="s">
        <v>447</v>
      </c>
      <c r="D31" s="2436"/>
      <c r="E31" s="619"/>
      <c r="F31" s="620"/>
      <c r="G31" s="621">
        <f t="shared" si="26"/>
        <v>0</v>
      </c>
      <c r="H31" s="661">
        <f t="shared" si="30"/>
        <v>0</v>
      </c>
      <c r="I31" s="624">
        <v>6</v>
      </c>
      <c r="J31" s="624">
        <v>0.95</v>
      </c>
      <c r="K31" s="624">
        <v>0.15</v>
      </c>
      <c r="L31" s="638">
        <v>12</v>
      </c>
      <c r="M31" s="627">
        <v>0.3</v>
      </c>
      <c r="N31" s="215">
        <v>100</v>
      </c>
      <c r="O31" s="214">
        <v>77</v>
      </c>
      <c r="P31" s="214">
        <v>0.04</v>
      </c>
      <c r="Q31" s="214">
        <v>0.42</v>
      </c>
      <c r="R31" s="214"/>
      <c r="S31" s="218">
        <v>0.05</v>
      </c>
      <c r="T31" s="601"/>
      <c r="U31" s="1151">
        <f t="shared" si="0"/>
        <v>2.3000000000000007</v>
      </c>
      <c r="V31" s="1152">
        <f t="shared" si="1"/>
        <v>65.203850000000017</v>
      </c>
      <c r="W31" s="108"/>
      <c r="X31" s="785">
        <f t="shared" si="12"/>
        <v>0</v>
      </c>
      <c r="Y31" s="786">
        <f t="shared" si="13"/>
        <v>0</v>
      </c>
      <c r="Z31" s="786">
        <f t="shared" si="14"/>
        <v>0</v>
      </c>
      <c r="AA31" s="786">
        <f t="shared" si="15"/>
        <v>0</v>
      </c>
      <c r="AB31" s="786">
        <f t="shared" si="16"/>
        <v>0</v>
      </c>
      <c r="AC31" s="787">
        <f t="shared" si="17"/>
        <v>0</v>
      </c>
      <c r="AD31" s="787">
        <f t="shared" si="18"/>
        <v>0</v>
      </c>
      <c r="AE31" s="787">
        <f t="shared" si="19"/>
        <v>0</v>
      </c>
      <c r="AF31" s="787">
        <f t="shared" si="20"/>
        <v>0</v>
      </c>
      <c r="AG31" s="787">
        <f t="shared" si="21"/>
        <v>0</v>
      </c>
      <c r="AH31" s="788">
        <f t="shared" si="22"/>
        <v>0</v>
      </c>
      <c r="AI31" s="1883" t="s">
        <v>25</v>
      </c>
      <c r="AJ31" s="787">
        <f t="shared" si="23"/>
        <v>0</v>
      </c>
      <c r="AK31" s="787">
        <f t="shared" si="24"/>
        <v>0</v>
      </c>
      <c r="AL31" s="792">
        <f t="shared" si="25"/>
        <v>0</v>
      </c>
      <c r="AM31" s="1884">
        <v>6</v>
      </c>
      <c r="AN31" s="1884">
        <v>6</v>
      </c>
      <c r="AO31" s="1884">
        <v>12</v>
      </c>
      <c r="AP31" s="769"/>
      <c r="AQ31" s="1249">
        <f t="shared" si="31"/>
        <v>3</v>
      </c>
      <c r="AR31" s="1250">
        <f t="shared" si="27"/>
        <v>2.5590000000000002</v>
      </c>
      <c r="AS31" s="1250">
        <f t="shared" si="28"/>
        <v>2.6790000000000003</v>
      </c>
      <c r="AT31" s="1250">
        <f t="shared" si="29"/>
        <v>1.9590000000000001</v>
      </c>
    </row>
    <row r="32" spans="1:46" ht="14.25" customHeight="1">
      <c r="A32" s="601"/>
      <c r="B32" s="637">
        <v>0.12</v>
      </c>
      <c r="C32" s="2437" t="s">
        <v>448</v>
      </c>
      <c r="D32" s="2436"/>
      <c r="E32" s="619"/>
      <c r="F32" s="620"/>
      <c r="G32" s="621">
        <f t="shared" si="26"/>
        <v>0</v>
      </c>
      <c r="H32" s="661">
        <f t="shared" si="30"/>
        <v>0</v>
      </c>
      <c r="I32" s="624">
        <v>5.5</v>
      </c>
      <c r="J32" s="624">
        <v>1.1000000000000001</v>
      </c>
      <c r="K32" s="624">
        <v>0.3</v>
      </c>
      <c r="L32" s="626">
        <v>9</v>
      </c>
      <c r="M32" s="625">
        <v>0.9</v>
      </c>
      <c r="N32" s="215">
        <v>200</v>
      </c>
      <c r="O32" s="215">
        <v>160</v>
      </c>
      <c r="P32" s="215">
        <v>0.02</v>
      </c>
      <c r="Q32" s="215">
        <v>0.65</v>
      </c>
      <c r="R32" s="215"/>
      <c r="S32" s="216">
        <v>0.03</v>
      </c>
      <c r="T32" s="601"/>
      <c r="U32" s="1151">
        <f t="shared" si="0"/>
        <v>2.4000000000000008</v>
      </c>
      <c r="V32" s="1152">
        <f t="shared" si="1"/>
        <v>68.038800000000023</v>
      </c>
      <c r="W32" s="108"/>
      <c r="X32" s="785">
        <f t="shared" si="12"/>
        <v>0</v>
      </c>
      <c r="Y32" s="786">
        <f t="shared" si="13"/>
        <v>0</v>
      </c>
      <c r="Z32" s="786">
        <f t="shared" si="14"/>
        <v>0</v>
      </c>
      <c r="AA32" s="786">
        <f t="shared" si="15"/>
        <v>0</v>
      </c>
      <c r="AB32" s="786">
        <f t="shared" si="16"/>
        <v>0</v>
      </c>
      <c r="AC32" s="787">
        <f t="shared" si="17"/>
        <v>0</v>
      </c>
      <c r="AD32" s="787">
        <f t="shared" si="18"/>
        <v>0</v>
      </c>
      <c r="AE32" s="787">
        <f t="shared" si="19"/>
        <v>0</v>
      </c>
      <c r="AF32" s="787">
        <f t="shared" si="20"/>
        <v>0</v>
      </c>
      <c r="AG32" s="787">
        <f t="shared" si="21"/>
        <v>0</v>
      </c>
      <c r="AH32" s="788">
        <f t="shared" si="22"/>
        <v>0</v>
      </c>
      <c r="AI32" s="1883" t="s">
        <v>449</v>
      </c>
      <c r="AJ32" s="787">
        <f t="shared" si="23"/>
        <v>0</v>
      </c>
      <c r="AK32" s="787">
        <f t="shared" si="24"/>
        <v>0</v>
      </c>
      <c r="AL32" s="792">
        <f t="shared" si="25"/>
        <v>0</v>
      </c>
      <c r="AM32" s="1138">
        <v>29</v>
      </c>
      <c r="AN32" s="769">
        <v>20</v>
      </c>
      <c r="AO32" s="769">
        <v>22</v>
      </c>
      <c r="AP32" s="769"/>
      <c r="AQ32" s="1249">
        <f t="shared" si="31"/>
        <v>3.5</v>
      </c>
      <c r="AR32" s="1250">
        <f t="shared" si="27"/>
        <v>2.9855</v>
      </c>
      <c r="AS32" s="1250">
        <f t="shared" si="28"/>
        <v>3.1255000000000002</v>
      </c>
      <c r="AT32" s="1250">
        <f t="shared" si="29"/>
        <v>2.2854999999999999</v>
      </c>
    </row>
    <row r="33" spans="1:46" ht="14.25" customHeight="1">
      <c r="A33" s="601"/>
      <c r="B33" s="637">
        <v>0.17</v>
      </c>
      <c r="C33" s="2437" t="s">
        <v>450</v>
      </c>
      <c r="D33" s="2436"/>
      <c r="E33" s="619"/>
      <c r="F33" s="620"/>
      <c r="G33" s="621">
        <f t="shared" si="26"/>
        <v>0</v>
      </c>
      <c r="H33" s="661">
        <f t="shared" si="30"/>
        <v>0</v>
      </c>
      <c r="I33" s="624">
        <v>7</v>
      </c>
      <c r="J33" s="624">
        <v>3.5</v>
      </c>
      <c r="K33" s="624">
        <v>0.35</v>
      </c>
      <c r="L33" s="626">
        <v>15</v>
      </c>
      <c r="M33" s="625">
        <v>1.1000000000000001</v>
      </c>
      <c r="N33" s="215">
        <v>150</v>
      </c>
      <c r="O33" s="215">
        <v>320</v>
      </c>
      <c r="P33" s="215">
        <v>0.05</v>
      </c>
      <c r="Q33" s="215">
        <v>0.3</v>
      </c>
      <c r="R33" s="215">
        <v>0.4</v>
      </c>
      <c r="S33" s="216">
        <v>6.6000000000000003E-2</v>
      </c>
      <c r="T33" s="601"/>
      <c r="U33" s="1151">
        <f t="shared" si="0"/>
        <v>2.5000000000000009</v>
      </c>
      <c r="V33" s="1152">
        <f t="shared" si="1"/>
        <v>70.87375000000003</v>
      </c>
      <c r="W33" s="108"/>
      <c r="X33" s="785">
        <f t="shared" si="12"/>
        <v>0</v>
      </c>
      <c r="Y33" s="786">
        <f t="shared" si="13"/>
        <v>0</v>
      </c>
      <c r="Z33" s="786">
        <f t="shared" si="14"/>
        <v>0</v>
      </c>
      <c r="AA33" s="786">
        <f t="shared" si="15"/>
        <v>0</v>
      </c>
      <c r="AB33" s="786">
        <f t="shared" si="16"/>
        <v>0</v>
      </c>
      <c r="AC33" s="787">
        <f t="shared" si="17"/>
        <v>0</v>
      </c>
      <c r="AD33" s="787">
        <f t="shared" si="18"/>
        <v>0</v>
      </c>
      <c r="AE33" s="787">
        <f t="shared" si="19"/>
        <v>0</v>
      </c>
      <c r="AF33" s="787">
        <f t="shared" si="20"/>
        <v>0</v>
      </c>
      <c r="AG33" s="787">
        <f t="shared" si="21"/>
        <v>0</v>
      </c>
      <c r="AH33" s="788">
        <f t="shared" si="22"/>
        <v>0</v>
      </c>
      <c r="AI33" s="1883" t="s">
        <v>25</v>
      </c>
      <c r="AJ33" s="787">
        <f t="shared" si="23"/>
        <v>0</v>
      </c>
      <c r="AK33" s="787">
        <f t="shared" si="24"/>
        <v>0</v>
      </c>
      <c r="AL33" s="792">
        <f t="shared" si="25"/>
        <v>0</v>
      </c>
      <c r="AM33" s="1138">
        <v>55</v>
      </c>
      <c r="AN33" s="769">
        <v>24</v>
      </c>
      <c r="AO33" s="769">
        <v>59</v>
      </c>
      <c r="AP33" s="769"/>
      <c r="AQ33" s="1249">
        <f t="shared" si="31"/>
        <v>4</v>
      </c>
      <c r="AR33" s="1250">
        <f t="shared" si="27"/>
        <v>3.4119999999999999</v>
      </c>
      <c r="AS33" s="1250">
        <f t="shared" si="28"/>
        <v>3.5720000000000001</v>
      </c>
      <c r="AT33" s="1250">
        <f t="shared" si="29"/>
        <v>2.6120000000000001</v>
      </c>
    </row>
    <row r="34" spans="1:46" ht="14.25" customHeight="1">
      <c r="A34" s="601"/>
      <c r="B34" s="637">
        <v>0.14000000000000001</v>
      </c>
      <c r="C34" s="2437" t="s">
        <v>451</v>
      </c>
      <c r="D34" s="2436"/>
      <c r="E34" s="619"/>
      <c r="F34" s="620"/>
      <c r="G34" s="621">
        <f t="shared" si="26"/>
        <v>0</v>
      </c>
      <c r="H34" s="661">
        <f t="shared" si="30"/>
        <v>0</v>
      </c>
      <c r="I34" s="624">
        <v>10</v>
      </c>
      <c r="J34" s="624">
        <v>0.3</v>
      </c>
      <c r="K34" s="623">
        <v>0.1</v>
      </c>
      <c r="L34" s="626">
        <v>15</v>
      </c>
      <c r="M34" s="627">
        <v>0.3</v>
      </c>
      <c r="N34" s="214">
        <v>100</v>
      </c>
      <c r="O34" s="215">
        <v>77</v>
      </c>
      <c r="P34" s="215">
        <v>0.04</v>
      </c>
      <c r="Q34" s="215">
        <v>0.42</v>
      </c>
      <c r="R34" s="215"/>
      <c r="S34" s="216">
        <v>0.05</v>
      </c>
      <c r="T34" s="601"/>
      <c r="U34" s="1151">
        <f t="shared" si="0"/>
        <v>2.600000000000001</v>
      </c>
      <c r="V34" s="1152">
        <f t="shared" si="1"/>
        <v>73.708700000000022</v>
      </c>
      <c r="W34" s="108"/>
      <c r="X34" s="785">
        <f t="shared" si="12"/>
        <v>0</v>
      </c>
      <c r="Y34" s="786">
        <f t="shared" si="13"/>
        <v>0</v>
      </c>
      <c r="Z34" s="786">
        <f t="shared" si="14"/>
        <v>0</v>
      </c>
      <c r="AA34" s="786">
        <f t="shared" si="15"/>
        <v>0</v>
      </c>
      <c r="AB34" s="786">
        <f t="shared" si="16"/>
        <v>0</v>
      </c>
      <c r="AC34" s="787">
        <f t="shared" si="17"/>
        <v>0</v>
      </c>
      <c r="AD34" s="787">
        <f t="shared" si="18"/>
        <v>0</v>
      </c>
      <c r="AE34" s="787">
        <f t="shared" si="19"/>
        <v>0</v>
      </c>
      <c r="AF34" s="787">
        <f t="shared" si="20"/>
        <v>0</v>
      </c>
      <c r="AG34" s="787">
        <f t="shared" si="21"/>
        <v>0</v>
      </c>
      <c r="AH34" s="788">
        <f t="shared" si="22"/>
        <v>0</v>
      </c>
      <c r="AI34" s="1883" t="s">
        <v>25</v>
      </c>
      <c r="AJ34" s="787">
        <f t="shared" si="23"/>
        <v>0</v>
      </c>
      <c r="AK34" s="787">
        <f t="shared" si="24"/>
        <v>0</v>
      </c>
      <c r="AL34" s="792">
        <f t="shared" si="25"/>
        <v>0</v>
      </c>
      <c r="AM34" s="1138">
        <v>6</v>
      </c>
      <c r="AN34" s="769">
        <v>6</v>
      </c>
      <c r="AO34" s="769">
        <v>12</v>
      </c>
      <c r="AP34" s="769"/>
      <c r="AQ34" s="1249">
        <f t="shared" si="31"/>
        <v>4.5</v>
      </c>
      <c r="AR34" s="1250">
        <f t="shared" si="27"/>
        <v>3.8384999999999998</v>
      </c>
      <c r="AS34" s="1250">
        <f t="shared" si="28"/>
        <v>4.0185000000000004</v>
      </c>
      <c r="AT34" s="1250">
        <f t="shared" si="29"/>
        <v>2.9385000000000003</v>
      </c>
    </row>
    <row r="35" spans="1:46" ht="14.25" customHeight="1">
      <c r="A35" s="601"/>
      <c r="B35" s="637">
        <v>0.15</v>
      </c>
      <c r="C35" s="2437" t="s">
        <v>452</v>
      </c>
      <c r="D35" s="2436" t="s">
        <v>453</v>
      </c>
      <c r="E35" s="619"/>
      <c r="F35" s="620"/>
      <c r="G35" s="621">
        <f t="shared" si="26"/>
        <v>0</v>
      </c>
      <c r="H35" s="661">
        <f t="shared" si="30"/>
        <v>0</v>
      </c>
      <c r="I35" s="624">
        <v>12.5</v>
      </c>
      <c r="J35" s="624">
        <v>0.5</v>
      </c>
      <c r="K35" s="624">
        <v>0.1</v>
      </c>
      <c r="L35" s="628">
        <v>16</v>
      </c>
      <c r="M35" s="625">
        <v>0.3</v>
      </c>
      <c r="N35" s="215">
        <v>90</v>
      </c>
      <c r="O35" s="215">
        <v>146</v>
      </c>
      <c r="P35" s="215">
        <v>0.03</v>
      </c>
      <c r="Q35" s="215">
        <v>0.15</v>
      </c>
      <c r="R35" s="215">
        <v>0.309</v>
      </c>
      <c r="S35" s="216">
        <v>0.05</v>
      </c>
      <c r="T35" s="601"/>
      <c r="U35" s="1151">
        <f t="shared" si="0"/>
        <v>2.7000000000000011</v>
      </c>
      <c r="V35" s="1152">
        <f t="shared" si="1"/>
        <v>76.543650000000028</v>
      </c>
      <c r="W35" s="108"/>
      <c r="X35" s="785">
        <f t="shared" si="12"/>
        <v>0</v>
      </c>
      <c r="Y35" s="786">
        <f t="shared" si="13"/>
        <v>0</v>
      </c>
      <c r="Z35" s="786">
        <f t="shared" si="14"/>
        <v>0</v>
      </c>
      <c r="AA35" s="786">
        <f t="shared" si="15"/>
        <v>0</v>
      </c>
      <c r="AB35" s="786">
        <f t="shared" si="16"/>
        <v>0</v>
      </c>
      <c r="AC35" s="787">
        <f t="shared" si="17"/>
        <v>0</v>
      </c>
      <c r="AD35" s="787">
        <f t="shared" si="18"/>
        <v>0</v>
      </c>
      <c r="AE35" s="787">
        <f t="shared" si="19"/>
        <v>0</v>
      </c>
      <c r="AF35" s="787">
        <f t="shared" si="20"/>
        <v>0</v>
      </c>
      <c r="AG35" s="787">
        <f t="shared" si="21"/>
        <v>0</v>
      </c>
      <c r="AH35" s="788">
        <f t="shared" si="22"/>
        <v>0</v>
      </c>
      <c r="AI35" s="1883" t="s">
        <v>436</v>
      </c>
      <c r="AJ35" s="787">
        <f t="shared" si="23"/>
        <v>0</v>
      </c>
      <c r="AK35" s="787">
        <f t="shared" si="24"/>
        <v>0</v>
      </c>
      <c r="AL35" s="792">
        <f t="shared" si="25"/>
        <v>0</v>
      </c>
      <c r="AM35" s="1138">
        <v>12</v>
      </c>
      <c r="AN35" s="769">
        <v>18</v>
      </c>
      <c r="AO35" s="769">
        <v>11</v>
      </c>
      <c r="AP35" s="769"/>
      <c r="AQ35" s="1249">
        <f t="shared" si="31"/>
        <v>5</v>
      </c>
      <c r="AR35" s="1250">
        <f t="shared" si="27"/>
        <v>4.2649999999999997</v>
      </c>
      <c r="AS35" s="1250">
        <f t="shared" si="28"/>
        <v>4.4649999999999999</v>
      </c>
      <c r="AT35" s="1250">
        <f t="shared" si="29"/>
        <v>3.2650000000000001</v>
      </c>
    </row>
    <row r="36" spans="1:46" ht="14.25" customHeight="1">
      <c r="A36" s="601"/>
      <c r="B36" s="2225">
        <v>0.15</v>
      </c>
      <c r="C36" s="2439"/>
      <c r="D36" s="2440" t="s">
        <v>454</v>
      </c>
      <c r="E36" s="639"/>
      <c r="F36" s="640"/>
      <c r="G36" s="641">
        <f t="shared" si="26"/>
        <v>0</v>
      </c>
      <c r="H36" s="661">
        <f t="shared" si="30"/>
        <v>0</v>
      </c>
      <c r="I36" s="642">
        <v>10</v>
      </c>
      <c r="J36" s="642">
        <v>0.5</v>
      </c>
      <c r="K36" s="642">
        <v>0.1</v>
      </c>
      <c r="L36" s="643">
        <v>16</v>
      </c>
      <c r="M36" s="644">
        <v>0.3</v>
      </c>
      <c r="N36" s="117">
        <v>90</v>
      </c>
      <c r="O36" s="117">
        <v>173</v>
      </c>
      <c r="P36" s="117">
        <v>0.03</v>
      </c>
      <c r="Q36" s="117">
        <v>0.4</v>
      </c>
      <c r="R36" s="116">
        <v>0.309</v>
      </c>
      <c r="S36" s="118">
        <v>0.04</v>
      </c>
      <c r="T36" s="601"/>
      <c r="U36" s="1151">
        <f t="shared" si="0"/>
        <v>2.8000000000000012</v>
      </c>
      <c r="V36" s="1152">
        <f t="shared" si="1"/>
        <v>79.378600000000034</v>
      </c>
      <c r="W36" s="108"/>
      <c r="X36" s="785">
        <f t="shared" si="12"/>
        <v>0</v>
      </c>
      <c r="Y36" s="786">
        <f t="shared" si="13"/>
        <v>0</v>
      </c>
      <c r="Z36" s="786">
        <f t="shared" si="14"/>
        <v>0</v>
      </c>
      <c r="AA36" s="786">
        <f t="shared" si="15"/>
        <v>0</v>
      </c>
      <c r="AB36" s="786">
        <f t="shared" si="16"/>
        <v>0</v>
      </c>
      <c r="AC36" s="787">
        <f t="shared" si="17"/>
        <v>0</v>
      </c>
      <c r="AD36" s="787">
        <f t="shared" si="18"/>
        <v>0</v>
      </c>
      <c r="AE36" s="787">
        <f t="shared" si="19"/>
        <v>0</v>
      </c>
      <c r="AF36" s="787">
        <f t="shared" si="20"/>
        <v>0</v>
      </c>
      <c r="AG36" s="787">
        <f t="shared" si="21"/>
        <v>0</v>
      </c>
      <c r="AH36" s="788">
        <f t="shared" si="22"/>
        <v>0</v>
      </c>
      <c r="AI36" s="1883" t="s">
        <v>436</v>
      </c>
      <c r="AJ36" s="787">
        <f t="shared" si="23"/>
        <v>0</v>
      </c>
      <c r="AK36" s="787">
        <f t="shared" si="24"/>
        <v>0</v>
      </c>
      <c r="AL36" s="792">
        <f t="shared" si="25"/>
        <v>0</v>
      </c>
      <c r="AM36" s="1138">
        <v>16</v>
      </c>
      <c r="AN36" s="769">
        <v>9</v>
      </c>
      <c r="AO36" s="769">
        <v>15</v>
      </c>
      <c r="AP36" s="769"/>
      <c r="AQ36" s="1249">
        <f t="shared" si="31"/>
        <v>5.5</v>
      </c>
      <c r="AR36" s="1250">
        <f t="shared" si="27"/>
        <v>4.6914999999999996</v>
      </c>
      <c r="AS36" s="1250">
        <f t="shared" si="28"/>
        <v>4.9115000000000002</v>
      </c>
      <c r="AT36" s="1250">
        <f t="shared" si="29"/>
        <v>3.5914999999999999</v>
      </c>
    </row>
    <row r="37" spans="1:46" ht="14.25" customHeight="1">
      <c r="A37" s="601"/>
      <c r="B37" s="2225">
        <v>0.13</v>
      </c>
      <c r="C37" s="2439" t="s">
        <v>455</v>
      </c>
      <c r="D37" s="2440"/>
      <c r="E37" s="639"/>
      <c r="F37" s="640"/>
      <c r="G37" s="641">
        <f t="shared" si="26"/>
        <v>0</v>
      </c>
      <c r="H37" s="661">
        <f t="shared" si="30"/>
        <v>0</v>
      </c>
      <c r="I37" s="642">
        <v>3.8</v>
      </c>
      <c r="J37" s="642">
        <v>3</v>
      </c>
      <c r="K37" s="645">
        <v>0.15</v>
      </c>
      <c r="L37" s="628">
        <v>12</v>
      </c>
      <c r="M37" s="644">
        <v>0.8</v>
      </c>
      <c r="N37" s="116">
        <v>90</v>
      </c>
      <c r="O37" s="117">
        <v>85</v>
      </c>
      <c r="P37" s="117">
        <v>0.01</v>
      </c>
      <c r="Q37" s="117">
        <v>0.1</v>
      </c>
      <c r="R37" s="117">
        <v>0.29499999999999998</v>
      </c>
      <c r="S37" s="118">
        <v>0.06</v>
      </c>
      <c r="T37" s="601"/>
      <c r="U37" s="1151">
        <f t="shared" si="0"/>
        <v>2.9000000000000012</v>
      </c>
      <c r="V37" s="1152">
        <f t="shared" si="1"/>
        <v>82.213550000000026</v>
      </c>
      <c r="W37" s="108"/>
      <c r="X37" s="785">
        <f t="shared" si="12"/>
        <v>0</v>
      </c>
      <c r="Y37" s="786">
        <f t="shared" si="13"/>
        <v>0</v>
      </c>
      <c r="Z37" s="786">
        <f t="shared" si="14"/>
        <v>0</v>
      </c>
      <c r="AA37" s="786">
        <f t="shared" si="15"/>
        <v>0</v>
      </c>
      <c r="AB37" s="786">
        <f t="shared" si="16"/>
        <v>0</v>
      </c>
      <c r="AC37" s="787">
        <f t="shared" si="17"/>
        <v>0</v>
      </c>
      <c r="AD37" s="787">
        <f t="shared" si="18"/>
        <v>0</v>
      </c>
      <c r="AE37" s="787">
        <f t="shared" si="19"/>
        <v>0</v>
      </c>
      <c r="AF37" s="787">
        <f t="shared" si="20"/>
        <v>0</v>
      </c>
      <c r="AG37" s="787">
        <f t="shared" si="21"/>
        <v>0</v>
      </c>
      <c r="AH37" s="788">
        <f t="shared" si="22"/>
        <v>0</v>
      </c>
      <c r="AI37" s="1883"/>
      <c r="AJ37" s="787">
        <f t="shared" si="23"/>
        <v>0</v>
      </c>
      <c r="AK37" s="787">
        <f t="shared" si="24"/>
        <v>0</v>
      </c>
      <c r="AL37" s="792">
        <f t="shared" si="25"/>
        <v>0</v>
      </c>
      <c r="AM37" s="1138">
        <v>8</v>
      </c>
      <c r="AN37" s="769">
        <v>6</v>
      </c>
      <c r="AO37" s="769">
        <v>13</v>
      </c>
      <c r="AP37" s="769"/>
      <c r="AQ37" s="1249">
        <f t="shared" si="31"/>
        <v>6</v>
      </c>
      <c r="AR37" s="1250">
        <f t="shared" si="27"/>
        <v>5.1180000000000003</v>
      </c>
      <c r="AS37" s="1250">
        <f t="shared" si="28"/>
        <v>5.3580000000000005</v>
      </c>
      <c r="AT37" s="1250">
        <f t="shared" si="29"/>
        <v>3.9180000000000001</v>
      </c>
    </row>
    <row r="38" spans="1:46" ht="14.25" customHeight="1">
      <c r="A38" s="601"/>
      <c r="B38" s="2225">
        <v>0.16</v>
      </c>
      <c r="C38" s="2439" t="s">
        <v>456</v>
      </c>
      <c r="D38" s="2440"/>
      <c r="E38" s="639"/>
      <c r="F38" s="640"/>
      <c r="G38" s="641">
        <f t="shared" si="26"/>
        <v>0</v>
      </c>
      <c r="H38" s="661">
        <f t="shared" si="30"/>
        <v>0</v>
      </c>
      <c r="I38" s="642">
        <v>9</v>
      </c>
      <c r="J38" s="642">
        <v>2.2000000000000002</v>
      </c>
      <c r="K38" s="645">
        <v>0.15</v>
      </c>
      <c r="L38" s="638">
        <v>12</v>
      </c>
      <c r="M38" s="646">
        <v>1.1000000000000001</v>
      </c>
      <c r="N38" s="117">
        <v>80</v>
      </c>
      <c r="O38" s="116">
        <v>155</v>
      </c>
      <c r="P38" s="116">
        <v>2.8000000000000001E-2</v>
      </c>
      <c r="Q38" s="116">
        <v>0.41699999999999998</v>
      </c>
      <c r="R38" s="116">
        <v>0.13500000000000001</v>
      </c>
      <c r="S38" s="119">
        <v>2.9000000000000001E-2</v>
      </c>
      <c r="T38" s="601"/>
      <c r="U38" s="1151">
        <f t="shared" si="0"/>
        <v>3.0000000000000013</v>
      </c>
      <c r="V38" s="1152">
        <f t="shared" si="1"/>
        <v>85.048500000000033</v>
      </c>
      <c r="W38" s="108"/>
      <c r="X38" s="785">
        <f t="shared" si="12"/>
        <v>0</v>
      </c>
      <c r="Y38" s="786">
        <f t="shared" si="13"/>
        <v>0</v>
      </c>
      <c r="Z38" s="786">
        <f t="shared" si="14"/>
        <v>0</v>
      </c>
      <c r="AA38" s="786">
        <f t="shared" si="15"/>
        <v>0</v>
      </c>
      <c r="AB38" s="786">
        <f t="shared" si="16"/>
        <v>0</v>
      </c>
      <c r="AC38" s="787">
        <f t="shared" si="17"/>
        <v>0</v>
      </c>
      <c r="AD38" s="787">
        <f t="shared" si="18"/>
        <v>0</v>
      </c>
      <c r="AE38" s="787">
        <f t="shared" si="19"/>
        <v>0</v>
      </c>
      <c r="AF38" s="787">
        <f t="shared" si="20"/>
        <v>0</v>
      </c>
      <c r="AG38" s="787">
        <f t="shared" si="21"/>
        <v>0</v>
      </c>
      <c r="AH38" s="788">
        <f t="shared" si="22"/>
        <v>0</v>
      </c>
      <c r="AI38" s="1883" t="s">
        <v>436</v>
      </c>
      <c r="AJ38" s="787">
        <f t="shared" si="23"/>
        <v>0</v>
      </c>
      <c r="AK38" s="787">
        <f t="shared" si="24"/>
        <v>0</v>
      </c>
      <c r="AL38" s="792">
        <f t="shared" si="25"/>
        <v>0</v>
      </c>
      <c r="AM38" s="1884">
        <v>6</v>
      </c>
      <c r="AN38" s="1884">
        <v>7</v>
      </c>
      <c r="AO38" s="1884">
        <v>16</v>
      </c>
      <c r="AP38" s="769"/>
      <c r="AQ38" s="1249">
        <f t="shared" si="31"/>
        <v>6.5</v>
      </c>
      <c r="AR38" s="1250">
        <f t="shared" si="27"/>
        <v>5.5445000000000002</v>
      </c>
      <c r="AS38" s="1250">
        <f t="shared" si="28"/>
        <v>5.8045</v>
      </c>
      <c r="AT38" s="1250">
        <f t="shared" si="29"/>
        <v>4.2445000000000004</v>
      </c>
    </row>
    <row r="39" spans="1:46" ht="14.25" customHeight="1">
      <c r="A39" s="601"/>
      <c r="B39" s="2225">
        <v>0.85</v>
      </c>
      <c r="C39" s="2439" t="s">
        <v>457</v>
      </c>
      <c r="D39" s="2440"/>
      <c r="E39" s="639"/>
      <c r="F39" s="640"/>
      <c r="G39" s="641">
        <f t="shared" si="26"/>
        <v>0</v>
      </c>
      <c r="H39" s="661">
        <f t="shared" si="30"/>
        <v>0</v>
      </c>
      <c r="I39" s="642">
        <v>64</v>
      </c>
      <c r="J39" s="642">
        <v>1</v>
      </c>
      <c r="K39" s="645">
        <v>0.5</v>
      </c>
      <c r="L39" s="628">
        <v>75</v>
      </c>
      <c r="M39" s="644">
        <v>0.8</v>
      </c>
      <c r="N39" s="116">
        <v>90</v>
      </c>
      <c r="O39" s="117">
        <v>656</v>
      </c>
      <c r="P39" s="117">
        <v>0.05</v>
      </c>
      <c r="Q39" s="117">
        <v>1.27</v>
      </c>
      <c r="R39" s="117">
        <v>0.57999999999999996</v>
      </c>
      <c r="S39" s="118">
        <v>0.17</v>
      </c>
      <c r="T39" s="601"/>
      <c r="U39" s="1151">
        <f t="shared" si="0"/>
        <v>3.1000000000000014</v>
      </c>
      <c r="V39" s="1152">
        <f t="shared" si="1"/>
        <v>87.883450000000039</v>
      </c>
      <c r="W39" s="108"/>
      <c r="X39" s="785">
        <f t="shared" si="12"/>
        <v>0</v>
      </c>
      <c r="Y39" s="786">
        <f t="shared" si="13"/>
        <v>0</v>
      </c>
      <c r="Z39" s="786">
        <f t="shared" si="14"/>
        <v>0</v>
      </c>
      <c r="AA39" s="786">
        <f t="shared" si="15"/>
        <v>0</v>
      </c>
      <c r="AB39" s="786">
        <f t="shared" si="16"/>
        <v>0</v>
      </c>
      <c r="AC39" s="787">
        <f t="shared" si="17"/>
        <v>0</v>
      </c>
      <c r="AD39" s="787">
        <f t="shared" si="18"/>
        <v>0</v>
      </c>
      <c r="AE39" s="787">
        <f t="shared" si="19"/>
        <v>0</v>
      </c>
      <c r="AF39" s="787">
        <f t="shared" si="20"/>
        <v>0</v>
      </c>
      <c r="AG39" s="787">
        <f t="shared" si="21"/>
        <v>0</v>
      </c>
      <c r="AH39" s="788">
        <f t="shared" si="22"/>
        <v>0</v>
      </c>
      <c r="AI39" s="1883" t="s">
        <v>436</v>
      </c>
      <c r="AJ39" s="787">
        <f t="shared" si="23"/>
        <v>0</v>
      </c>
      <c r="AK39" s="787">
        <f t="shared" si="24"/>
        <v>0</v>
      </c>
      <c r="AL39" s="792">
        <f t="shared" si="25"/>
        <v>0</v>
      </c>
      <c r="AM39" s="1138">
        <v>39</v>
      </c>
      <c r="AN39" s="769">
        <v>43</v>
      </c>
      <c r="AO39" s="769">
        <v>62</v>
      </c>
      <c r="AP39" s="769"/>
      <c r="AQ39" s="1249">
        <f t="shared" si="31"/>
        <v>7</v>
      </c>
      <c r="AR39" s="1250">
        <f t="shared" si="27"/>
        <v>5.9710000000000001</v>
      </c>
      <c r="AS39" s="1250">
        <f t="shared" si="28"/>
        <v>6.2510000000000003</v>
      </c>
      <c r="AT39" s="1250">
        <f t="shared" si="29"/>
        <v>4.5709999999999997</v>
      </c>
    </row>
    <row r="40" spans="1:46" ht="14.25" customHeight="1">
      <c r="A40" s="601"/>
      <c r="B40" s="2225">
        <v>0.2</v>
      </c>
      <c r="C40" s="2439" t="s">
        <v>458</v>
      </c>
      <c r="D40" s="2440"/>
      <c r="E40" s="639"/>
      <c r="F40" s="640"/>
      <c r="G40" s="641">
        <f t="shared" si="26"/>
        <v>0</v>
      </c>
      <c r="H40" s="661">
        <f t="shared" si="30"/>
        <v>0</v>
      </c>
      <c r="I40" s="642">
        <v>11.5</v>
      </c>
      <c r="J40" s="642">
        <v>1.05</v>
      </c>
      <c r="K40" s="642">
        <v>0.55000000000000004</v>
      </c>
      <c r="L40" s="628">
        <v>18</v>
      </c>
      <c r="M40" s="644">
        <v>0.5</v>
      </c>
      <c r="N40" s="117">
        <v>200</v>
      </c>
      <c r="O40" s="117">
        <v>280</v>
      </c>
      <c r="P40" s="117">
        <v>7.0000000000000007E-2</v>
      </c>
      <c r="Q40" s="117">
        <v>0.5</v>
      </c>
      <c r="R40" s="117">
        <v>0.14000000000000001</v>
      </c>
      <c r="S40" s="118">
        <v>0.23</v>
      </c>
      <c r="T40" s="601"/>
      <c r="U40" s="1151">
        <f t="shared" si="0"/>
        <v>3.2000000000000015</v>
      </c>
      <c r="V40" s="1152">
        <f t="shared" si="1"/>
        <v>90.718400000000045</v>
      </c>
      <c r="W40" s="108"/>
      <c r="X40" s="785">
        <f t="shared" si="12"/>
        <v>0</v>
      </c>
      <c r="Y40" s="786">
        <f t="shared" si="13"/>
        <v>0</v>
      </c>
      <c r="Z40" s="786">
        <f t="shared" si="14"/>
        <v>0</v>
      </c>
      <c r="AA40" s="786">
        <f t="shared" si="15"/>
        <v>0</v>
      </c>
      <c r="AB40" s="786">
        <f t="shared" si="16"/>
        <v>0</v>
      </c>
      <c r="AC40" s="787">
        <f t="shared" si="17"/>
        <v>0</v>
      </c>
      <c r="AD40" s="787">
        <f t="shared" si="18"/>
        <v>0</v>
      </c>
      <c r="AE40" s="787">
        <f t="shared" si="19"/>
        <v>0</v>
      </c>
      <c r="AF40" s="787">
        <f t="shared" si="20"/>
        <v>0</v>
      </c>
      <c r="AG40" s="787">
        <f t="shared" si="21"/>
        <v>0</v>
      </c>
      <c r="AH40" s="788">
        <f t="shared" si="22"/>
        <v>0</v>
      </c>
      <c r="AI40" s="1883" t="s">
        <v>25</v>
      </c>
      <c r="AJ40" s="787">
        <f t="shared" si="23"/>
        <v>0</v>
      </c>
      <c r="AK40" s="787">
        <f t="shared" si="24"/>
        <v>0</v>
      </c>
      <c r="AL40" s="792">
        <f t="shared" si="25"/>
        <v>0</v>
      </c>
      <c r="AM40" s="1138">
        <v>36</v>
      </c>
      <c r="AN40" s="769">
        <v>0</v>
      </c>
      <c r="AO40" s="769">
        <v>30</v>
      </c>
      <c r="AP40" s="769"/>
      <c r="AQ40" s="1249">
        <f t="shared" si="31"/>
        <v>7.5</v>
      </c>
      <c r="AR40" s="1250">
        <f t="shared" si="27"/>
        <v>6.3975</v>
      </c>
      <c r="AS40" s="1250">
        <f t="shared" si="28"/>
        <v>6.6974999999999998</v>
      </c>
      <c r="AT40" s="1250">
        <f t="shared" si="29"/>
        <v>4.8975</v>
      </c>
    </row>
    <row r="41" spans="1:46" ht="14.25" customHeight="1">
      <c r="A41" s="601"/>
      <c r="B41" s="2225">
        <v>0</v>
      </c>
      <c r="C41" s="2439"/>
      <c r="D41" s="2440" t="s">
        <v>459</v>
      </c>
      <c r="E41" s="639"/>
      <c r="F41" s="640"/>
      <c r="G41" s="641">
        <f t="shared" si="26"/>
        <v>0</v>
      </c>
      <c r="H41" s="661">
        <f t="shared" si="30"/>
        <v>0</v>
      </c>
      <c r="I41" s="645">
        <v>12</v>
      </c>
      <c r="J41" s="645">
        <v>1</v>
      </c>
      <c r="K41" s="645">
        <v>0.31</v>
      </c>
      <c r="L41" s="638">
        <v>18.3</v>
      </c>
      <c r="M41" s="644">
        <v>0.5</v>
      </c>
      <c r="N41" s="116">
        <v>200</v>
      </c>
      <c r="O41" s="116">
        <v>280</v>
      </c>
      <c r="P41" s="116">
        <v>7.0000000000000007E-2</v>
      </c>
      <c r="Q41" s="116">
        <v>0.5</v>
      </c>
      <c r="R41" s="116">
        <v>0.14000000000000001</v>
      </c>
      <c r="S41" s="119">
        <v>0.23</v>
      </c>
      <c r="T41" s="601"/>
      <c r="U41" s="1151">
        <f t="shared" si="0"/>
        <v>3.3000000000000016</v>
      </c>
      <c r="V41" s="1152">
        <f t="shared" si="1"/>
        <v>93.553350000000037</v>
      </c>
      <c r="W41" s="108"/>
      <c r="X41" s="785">
        <f t="shared" si="12"/>
        <v>0</v>
      </c>
      <c r="Y41" s="786">
        <f t="shared" si="13"/>
        <v>0</v>
      </c>
      <c r="Z41" s="786">
        <f t="shared" si="14"/>
        <v>0</v>
      </c>
      <c r="AA41" s="786">
        <f t="shared" si="15"/>
        <v>0</v>
      </c>
      <c r="AB41" s="786">
        <f t="shared" si="16"/>
        <v>0</v>
      </c>
      <c r="AC41" s="787">
        <f t="shared" si="17"/>
        <v>0</v>
      </c>
      <c r="AD41" s="787">
        <f t="shared" si="18"/>
        <v>0</v>
      </c>
      <c r="AE41" s="787">
        <f t="shared" si="19"/>
        <v>0</v>
      </c>
      <c r="AF41" s="787">
        <f t="shared" si="20"/>
        <v>0</v>
      </c>
      <c r="AG41" s="787">
        <f t="shared" si="21"/>
        <v>0</v>
      </c>
      <c r="AH41" s="788">
        <f t="shared" si="22"/>
        <v>0</v>
      </c>
      <c r="AI41" s="1883" t="s">
        <v>25</v>
      </c>
      <c r="AJ41" s="787">
        <f t="shared" si="23"/>
        <v>0</v>
      </c>
      <c r="AK41" s="787">
        <f t="shared" si="24"/>
        <v>0</v>
      </c>
      <c r="AL41" s="792">
        <f t="shared" si="25"/>
        <v>0</v>
      </c>
      <c r="AM41" s="1884">
        <v>38</v>
      </c>
      <c r="AN41" s="1884">
        <v>5</v>
      </c>
      <c r="AO41" s="1884">
        <v>30</v>
      </c>
      <c r="AP41" s="769"/>
      <c r="AQ41" s="1249">
        <f t="shared" si="31"/>
        <v>8</v>
      </c>
      <c r="AR41" s="1250">
        <f t="shared" si="27"/>
        <v>6.8239999999999998</v>
      </c>
      <c r="AS41" s="1250">
        <f t="shared" si="28"/>
        <v>7.1440000000000001</v>
      </c>
      <c r="AT41" s="1250">
        <f t="shared" si="29"/>
        <v>5.2240000000000002</v>
      </c>
    </row>
    <row r="42" spans="1:46" ht="14.25" customHeight="1">
      <c r="A42" s="601"/>
      <c r="B42" s="2225">
        <v>0.21</v>
      </c>
      <c r="C42" s="2439" t="s">
        <v>460</v>
      </c>
      <c r="D42" s="2440" t="s">
        <v>444</v>
      </c>
      <c r="E42" s="639"/>
      <c r="F42" s="640"/>
      <c r="G42" s="641">
        <f t="shared" si="26"/>
        <v>0</v>
      </c>
      <c r="H42" s="661">
        <f t="shared" si="30"/>
        <v>0</v>
      </c>
      <c r="I42" s="642">
        <v>15</v>
      </c>
      <c r="J42" s="642">
        <v>0.4</v>
      </c>
      <c r="K42" s="645">
        <v>0.1</v>
      </c>
      <c r="L42" s="628">
        <v>19</v>
      </c>
      <c r="M42" s="644">
        <v>0.5</v>
      </c>
      <c r="N42" s="116">
        <v>90</v>
      </c>
      <c r="O42" s="117">
        <v>232</v>
      </c>
      <c r="P42" s="117">
        <v>0.06</v>
      </c>
      <c r="Q42" s="117">
        <v>0.4</v>
      </c>
      <c r="R42" s="117">
        <v>0.3</v>
      </c>
      <c r="S42" s="118">
        <v>0.113</v>
      </c>
      <c r="T42" s="601"/>
      <c r="U42" s="1151">
        <f t="shared" si="0"/>
        <v>3.4000000000000017</v>
      </c>
      <c r="V42" s="1152">
        <f t="shared" si="1"/>
        <v>96.388300000000044</v>
      </c>
      <c r="W42" s="108"/>
      <c r="X42" s="785">
        <f t="shared" si="12"/>
        <v>0</v>
      </c>
      <c r="Y42" s="786">
        <f t="shared" si="13"/>
        <v>0</v>
      </c>
      <c r="Z42" s="786">
        <f t="shared" si="14"/>
        <v>0</v>
      </c>
      <c r="AA42" s="786">
        <f t="shared" si="15"/>
        <v>0</v>
      </c>
      <c r="AB42" s="786">
        <f t="shared" si="16"/>
        <v>0</v>
      </c>
      <c r="AC42" s="787">
        <f t="shared" si="17"/>
        <v>0</v>
      </c>
      <c r="AD42" s="787">
        <f t="shared" si="18"/>
        <v>0</v>
      </c>
      <c r="AE42" s="787">
        <f t="shared" si="19"/>
        <v>0</v>
      </c>
      <c r="AF42" s="787">
        <f t="shared" si="20"/>
        <v>0</v>
      </c>
      <c r="AG42" s="787">
        <f t="shared" si="21"/>
        <v>0</v>
      </c>
      <c r="AH42" s="788">
        <f t="shared" si="22"/>
        <v>0</v>
      </c>
      <c r="AI42" s="1883" t="s">
        <v>436</v>
      </c>
      <c r="AJ42" s="787">
        <f t="shared" si="23"/>
        <v>0</v>
      </c>
      <c r="AK42" s="787">
        <f t="shared" si="24"/>
        <v>0</v>
      </c>
      <c r="AL42" s="792">
        <f t="shared" si="25"/>
        <v>0</v>
      </c>
      <c r="AM42" s="1138">
        <v>35</v>
      </c>
      <c r="AN42" s="769">
        <v>17</v>
      </c>
      <c r="AO42" s="769">
        <v>12</v>
      </c>
      <c r="AP42" s="769"/>
      <c r="AQ42" s="1249">
        <f t="shared" si="31"/>
        <v>8.5</v>
      </c>
      <c r="AR42" s="1250">
        <f t="shared" si="27"/>
        <v>7.2504999999999997</v>
      </c>
      <c r="AS42" s="1250">
        <f t="shared" si="28"/>
        <v>7.5905000000000005</v>
      </c>
      <c r="AT42" s="1250">
        <f t="shared" si="29"/>
        <v>5.5505000000000004</v>
      </c>
    </row>
    <row r="43" spans="1:46" ht="14.25" customHeight="1">
      <c r="A43" s="601"/>
      <c r="B43" s="2225">
        <v>0.7</v>
      </c>
      <c r="C43" s="2439"/>
      <c r="D43" s="2440" t="s">
        <v>445</v>
      </c>
      <c r="E43" s="639"/>
      <c r="F43" s="640"/>
      <c r="G43" s="641">
        <f t="shared" si="26"/>
        <v>0</v>
      </c>
      <c r="H43" s="661">
        <f t="shared" si="30"/>
        <v>0</v>
      </c>
      <c r="I43" s="642">
        <v>48</v>
      </c>
      <c r="J43" s="642">
        <v>2.5</v>
      </c>
      <c r="K43" s="645">
        <v>0.5</v>
      </c>
      <c r="L43" s="628">
        <v>64</v>
      </c>
      <c r="M43" s="644">
        <v>1.7</v>
      </c>
      <c r="N43" s="116">
        <v>300</v>
      </c>
      <c r="O43" s="117">
        <v>680</v>
      </c>
      <c r="P43" s="117">
        <v>8.5000000000000006E-2</v>
      </c>
      <c r="Q43" s="117">
        <v>0.61899999999999999</v>
      </c>
      <c r="R43" s="117">
        <v>0.434</v>
      </c>
      <c r="S43" s="118">
        <v>0</v>
      </c>
      <c r="T43" s="601"/>
      <c r="U43" s="1151">
        <f t="shared" si="0"/>
        <v>3.5000000000000018</v>
      </c>
      <c r="V43" s="1152">
        <f t="shared" si="1"/>
        <v>99.22325000000005</v>
      </c>
      <c r="W43" s="108"/>
      <c r="X43" s="785">
        <f t="shared" si="12"/>
        <v>0</v>
      </c>
      <c r="Y43" s="786">
        <f t="shared" si="13"/>
        <v>0</v>
      </c>
      <c r="Z43" s="786">
        <f t="shared" si="14"/>
        <v>0</v>
      </c>
      <c r="AA43" s="786">
        <f t="shared" si="15"/>
        <v>0</v>
      </c>
      <c r="AB43" s="786">
        <f t="shared" si="16"/>
        <v>0</v>
      </c>
      <c r="AC43" s="787">
        <f t="shared" si="17"/>
        <v>0</v>
      </c>
      <c r="AD43" s="787">
        <f t="shared" si="18"/>
        <v>0</v>
      </c>
      <c r="AE43" s="787">
        <f t="shared" si="19"/>
        <v>0</v>
      </c>
      <c r="AF43" s="787">
        <f t="shared" si="20"/>
        <v>0</v>
      </c>
      <c r="AG43" s="787">
        <f t="shared" si="21"/>
        <v>0</v>
      </c>
      <c r="AH43" s="788">
        <f t="shared" si="22"/>
        <v>0</v>
      </c>
      <c r="AI43" s="1883" t="s">
        <v>436</v>
      </c>
      <c r="AJ43" s="787">
        <f t="shared" si="23"/>
        <v>0</v>
      </c>
      <c r="AK43" s="787">
        <f t="shared" si="24"/>
        <v>0</v>
      </c>
      <c r="AL43" s="792">
        <f t="shared" si="25"/>
        <v>0</v>
      </c>
      <c r="AM43" s="1138">
        <v>162</v>
      </c>
      <c r="AN43" s="769">
        <v>68</v>
      </c>
      <c r="AO43" s="769">
        <v>67</v>
      </c>
      <c r="AP43" s="769"/>
      <c r="AQ43" s="1249">
        <f t="shared" si="31"/>
        <v>9</v>
      </c>
      <c r="AR43" s="1250">
        <f t="shared" si="27"/>
        <v>7.6769999999999996</v>
      </c>
      <c r="AS43" s="1250">
        <f t="shared" si="28"/>
        <v>8.0370000000000008</v>
      </c>
      <c r="AT43" s="1250">
        <f t="shared" si="29"/>
        <v>5.8770000000000007</v>
      </c>
    </row>
    <row r="44" spans="1:46" ht="14.25" customHeight="1">
      <c r="A44" s="601"/>
      <c r="B44" s="2225">
        <v>0.35</v>
      </c>
      <c r="C44" s="2439" t="s">
        <v>461</v>
      </c>
      <c r="D44" s="2440" t="s">
        <v>435</v>
      </c>
      <c r="E44" s="639"/>
      <c r="F44" s="640"/>
      <c r="G44" s="641">
        <f t="shared" si="26"/>
        <v>0</v>
      </c>
      <c r="H44" s="661">
        <f t="shared" si="30"/>
        <v>0</v>
      </c>
      <c r="I44" s="642">
        <v>5</v>
      </c>
      <c r="J44" s="642">
        <v>1.7</v>
      </c>
      <c r="K44" s="642">
        <v>0.1</v>
      </c>
      <c r="L44" s="628">
        <v>10</v>
      </c>
      <c r="M44" s="646">
        <v>0.9</v>
      </c>
      <c r="N44" s="117">
        <v>160</v>
      </c>
      <c r="O44" s="117">
        <v>198</v>
      </c>
      <c r="P44" s="117">
        <v>0.04</v>
      </c>
      <c r="Q44" s="117">
        <v>0.3</v>
      </c>
      <c r="R44" s="117">
        <v>0.28599999999999998</v>
      </c>
      <c r="S44" s="118">
        <v>0</v>
      </c>
      <c r="T44" s="601"/>
      <c r="U44" s="1151">
        <f t="shared" si="0"/>
        <v>3.6000000000000019</v>
      </c>
      <c r="V44" s="1151">
        <f t="shared" si="1"/>
        <v>102.05820000000006</v>
      </c>
      <c r="W44" s="1616"/>
      <c r="X44" s="785">
        <f t="shared" si="12"/>
        <v>0</v>
      </c>
      <c r="Y44" s="786">
        <f t="shared" si="13"/>
        <v>0</v>
      </c>
      <c r="Z44" s="786">
        <f t="shared" si="14"/>
        <v>0</v>
      </c>
      <c r="AA44" s="786">
        <f t="shared" si="15"/>
        <v>0</v>
      </c>
      <c r="AB44" s="786">
        <f t="shared" si="16"/>
        <v>0</v>
      </c>
      <c r="AC44" s="787">
        <f t="shared" si="17"/>
        <v>0</v>
      </c>
      <c r="AD44" s="787">
        <f t="shared" si="18"/>
        <v>0</v>
      </c>
      <c r="AE44" s="787">
        <f t="shared" si="19"/>
        <v>0</v>
      </c>
      <c r="AF44" s="787">
        <f t="shared" si="20"/>
        <v>0</v>
      </c>
      <c r="AG44" s="787">
        <f t="shared" si="21"/>
        <v>0</v>
      </c>
      <c r="AH44" s="788">
        <f t="shared" si="22"/>
        <v>0</v>
      </c>
      <c r="AI44" s="1883" t="s">
        <v>449</v>
      </c>
      <c r="AJ44" s="787">
        <f t="shared" si="23"/>
        <v>0</v>
      </c>
      <c r="AK44" s="787">
        <f t="shared" si="24"/>
        <v>0</v>
      </c>
      <c r="AL44" s="792">
        <f t="shared" si="25"/>
        <v>0</v>
      </c>
      <c r="AM44" s="1138">
        <v>25</v>
      </c>
      <c r="AN44" s="769">
        <v>10</v>
      </c>
      <c r="AO44" s="769">
        <v>27</v>
      </c>
      <c r="AP44" s="769"/>
      <c r="AQ44" s="1249">
        <f t="shared" si="31"/>
        <v>9.5</v>
      </c>
      <c r="AR44" s="1250">
        <f t="shared" si="27"/>
        <v>8.1035000000000004</v>
      </c>
      <c r="AS44" s="1250">
        <f t="shared" si="28"/>
        <v>8.4834999999999994</v>
      </c>
      <c r="AT44" s="1250">
        <f t="shared" si="29"/>
        <v>6.2035</v>
      </c>
    </row>
    <row r="45" spans="1:46" ht="14.25" customHeight="1">
      <c r="A45" s="601"/>
      <c r="B45" s="2225">
        <v>0.35</v>
      </c>
      <c r="C45" s="2439"/>
      <c r="D45" s="2440" t="s">
        <v>438</v>
      </c>
      <c r="E45" s="639"/>
      <c r="F45" s="640"/>
      <c r="G45" s="641">
        <f t="shared" si="26"/>
        <v>0</v>
      </c>
      <c r="H45" s="661">
        <f t="shared" si="30"/>
        <v>0</v>
      </c>
      <c r="I45" s="642">
        <v>8.5</v>
      </c>
      <c r="J45" s="642">
        <v>1.7</v>
      </c>
      <c r="K45" s="642">
        <v>0.1</v>
      </c>
      <c r="L45" s="638">
        <v>10</v>
      </c>
      <c r="M45" s="646">
        <v>0.9</v>
      </c>
      <c r="N45" s="117">
        <v>160</v>
      </c>
      <c r="O45" s="117">
        <v>198</v>
      </c>
      <c r="P45" s="117">
        <v>0.04</v>
      </c>
      <c r="Q45" s="117">
        <v>0.3</v>
      </c>
      <c r="R45" s="117">
        <v>0.28599999999999998</v>
      </c>
      <c r="S45" s="118">
        <v>0</v>
      </c>
      <c r="T45" s="601"/>
      <c r="U45" s="1151">
        <f t="shared" si="0"/>
        <v>3.700000000000002</v>
      </c>
      <c r="V45" s="1151">
        <f t="shared" si="1"/>
        <v>104.89315000000005</v>
      </c>
      <c r="W45" s="108"/>
      <c r="X45" s="785">
        <f t="shared" si="12"/>
        <v>0</v>
      </c>
      <c r="Y45" s="786">
        <f t="shared" si="13"/>
        <v>0</v>
      </c>
      <c r="Z45" s="786">
        <f t="shared" si="14"/>
        <v>0</v>
      </c>
      <c r="AA45" s="786">
        <f t="shared" si="15"/>
        <v>0</v>
      </c>
      <c r="AB45" s="786">
        <f t="shared" si="16"/>
        <v>0</v>
      </c>
      <c r="AC45" s="787">
        <f t="shared" si="17"/>
        <v>0</v>
      </c>
      <c r="AD45" s="787">
        <f t="shared" si="18"/>
        <v>0</v>
      </c>
      <c r="AE45" s="787">
        <f t="shared" si="19"/>
        <v>0</v>
      </c>
      <c r="AF45" s="787">
        <f t="shared" si="20"/>
        <v>0</v>
      </c>
      <c r="AG45" s="787">
        <f t="shared" si="21"/>
        <v>0</v>
      </c>
      <c r="AH45" s="788">
        <f t="shared" si="22"/>
        <v>0</v>
      </c>
      <c r="AI45" s="1883" t="s">
        <v>449</v>
      </c>
      <c r="AJ45" s="787">
        <f t="shared" si="23"/>
        <v>0</v>
      </c>
      <c r="AK45" s="787">
        <f t="shared" si="24"/>
        <v>0</v>
      </c>
      <c r="AL45" s="792">
        <f t="shared" si="25"/>
        <v>0</v>
      </c>
      <c r="AM45" s="1138">
        <v>25</v>
      </c>
      <c r="AN45" s="769">
        <v>10</v>
      </c>
      <c r="AO45" s="769">
        <v>27</v>
      </c>
      <c r="AP45" s="769"/>
      <c r="AQ45" s="1249">
        <f t="shared" si="31"/>
        <v>10</v>
      </c>
      <c r="AR45" s="1250">
        <f t="shared" si="27"/>
        <v>8.5299999999999994</v>
      </c>
      <c r="AS45" s="1250">
        <f t="shared" si="28"/>
        <v>8.93</v>
      </c>
      <c r="AT45" s="1250">
        <f t="shared" si="29"/>
        <v>6.53</v>
      </c>
    </row>
    <row r="46" spans="1:46" ht="14.25" customHeight="1">
      <c r="A46" s="601"/>
      <c r="B46" s="2225">
        <v>0.2</v>
      </c>
      <c r="C46" s="2439" t="s">
        <v>462</v>
      </c>
      <c r="D46" s="2440" t="s">
        <v>463</v>
      </c>
      <c r="E46" s="639"/>
      <c r="F46" s="640"/>
      <c r="G46" s="641">
        <f t="shared" si="26"/>
        <v>0</v>
      </c>
      <c r="H46" s="661">
        <f t="shared" si="30"/>
        <v>0</v>
      </c>
      <c r="I46" s="642">
        <v>16.2</v>
      </c>
      <c r="J46" s="642">
        <v>0.85</v>
      </c>
      <c r="K46" s="642">
        <v>0.02</v>
      </c>
      <c r="L46" s="628">
        <v>17</v>
      </c>
      <c r="M46" s="644">
        <v>0.4</v>
      </c>
      <c r="N46" s="117">
        <v>100</v>
      </c>
      <c r="O46" s="117">
        <v>190</v>
      </c>
      <c r="P46" s="117">
        <v>0.09</v>
      </c>
      <c r="Q46" s="117">
        <v>0.3</v>
      </c>
      <c r="R46" s="117">
        <v>2.4E-2</v>
      </c>
      <c r="S46" s="118">
        <v>0.11</v>
      </c>
      <c r="T46" s="601"/>
      <c r="U46" s="1151">
        <f t="shared" si="0"/>
        <v>3.800000000000002</v>
      </c>
      <c r="V46" s="1151">
        <f t="shared" si="1"/>
        <v>107.72810000000005</v>
      </c>
      <c r="W46" s="108"/>
      <c r="X46" s="785">
        <f t="shared" si="12"/>
        <v>0</v>
      </c>
      <c r="Y46" s="786">
        <f t="shared" si="13"/>
        <v>0</v>
      </c>
      <c r="Z46" s="786">
        <f t="shared" si="14"/>
        <v>0</v>
      </c>
      <c r="AA46" s="786">
        <f t="shared" si="15"/>
        <v>0</v>
      </c>
      <c r="AB46" s="786">
        <f t="shared" si="16"/>
        <v>0</v>
      </c>
      <c r="AC46" s="787">
        <f t="shared" si="17"/>
        <v>0</v>
      </c>
      <c r="AD46" s="787">
        <f t="shared" si="18"/>
        <v>0</v>
      </c>
      <c r="AE46" s="787">
        <f t="shared" si="19"/>
        <v>0</v>
      </c>
      <c r="AF46" s="787">
        <f t="shared" si="20"/>
        <v>0</v>
      </c>
      <c r="AG46" s="787">
        <f t="shared" si="21"/>
        <v>0</v>
      </c>
      <c r="AH46" s="788">
        <f t="shared" si="22"/>
        <v>0</v>
      </c>
      <c r="AI46" s="1883" t="s">
        <v>464</v>
      </c>
      <c r="AJ46" s="787">
        <f t="shared" si="23"/>
        <v>0</v>
      </c>
      <c r="AK46" s="787">
        <f t="shared" si="24"/>
        <v>0</v>
      </c>
      <c r="AL46" s="792">
        <f t="shared" si="25"/>
        <v>0</v>
      </c>
      <c r="AM46" s="1138">
        <v>14</v>
      </c>
      <c r="AN46" s="769">
        <v>5</v>
      </c>
      <c r="AO46" s="769">
        <v>10</v>
      </c>
      <c r="AP46" s="769"/>
      <c r="AQ46" s="1249">
        <f t="shared" si="31"/>
        <v>10.5</v>
      </c>
      <c r="AR46" s="1250">
        <f t="shared" si="27"/>
        <v>8.9565000000000001</v>
      </c>
      <c r="AS46" s="1250">
        <f t="shared" si="28"/>
        <v>9.3765000000000001</v>
      </c>
      <c r="AT46" s="1250">
        <f t="shared" si="29"/>
        <v>6.8565000000000005</v>
      </c>
    </row>
    <row r="47" spans="1:46" ht="14.25" customHeight="1">
      <c r="A47" s="601"/>
      <c r="B47" s="2225">
        <v>0.18</v>
      </c>
      <c r="C47" s="2439"/>
      <c r="D47" s="2440" t="s">
        <v>465</v>
      </c>
      <c r="E47" s="639"/>
      <c r="F47" s="640"/>
      <c r="G47" s="641">
        <f t="shared" si="26"/>
        <v>0</v>
      </c>
      <c r="H47" s="661">
        <f t="shared" si="30"/>
        <v>0</v>
      </c>
      <c r="I47" s="642">
        <v>15.5</v>
      </c>
      <c r="J47" s="642">
        <v>0.85</v>
      </c>
      <c r="K47" s="642">
        <v>0.2</v>
      </c>
      <c r="L47" s="628">
        <v>18.100000000000001</v>
      </c>
      <c r="M47" s="646">
        <v>0.4</v>
      </c>
      <c r="N47" s="117">
        <v>100</v>
      </c>
      <c r="O47" s="117">
        <v>190</v>
      </c>
      <c r="P47" s="117">
        <v>7.0000000000000007E-2</v>
      </c>
      <c r="Q47" s="117">
        <v>0.19</v>
      </c>
      <c r="R47" s="117">
        <v>0.05</v>
      </c>
      <c r="S47" s="118">
        <v>0.09</v>
      </c>
      <c r="T47" s="601"/>
      <c r="U47" s="1151">
        <f t="shared" si="0"/>
        <v>3.9000000000000021</v>
      </c>
      <c r="V47" s="1151">
        <f t="shared" si="1"/>
        <v>110.56305000000006</v>
      </c>
      <c r="W47" s="108"/>
      <c r="X47" s="785">
        <f t="shared" si="12"/>
        <v>0</v>
      </c>
      <c r="Y47" s="786">
        <f t="shared" si="13"/>
        <v>0</v>
      </c>
      <c r="Z47" s="786">
        <f t="shared" si="14"/>
        <v>0</v>
      </c>
      <c r="AA47" s="786">
        <f t="shared" si="15"/>
        <v>0</v>
      </c>
      <c r="AB47" s="786">
        <f t="shared" si="16"/>
        <v>0</v>
      </c>
      <c r="AC47" s="787">
        <f t="shared" si="17"/>
        <v>0</v>
      </c>
      <c r="AD47" s="787">
        <f t="shared" si="18"/>
        <v>0</v>
      </c>
      <c r="AE47" s="787">
        <f t="shared" si="19"/>
        <v>0</v>
      </c>
      <c r="AF47" s="787">
        <f t="shared" si="20"/>
        <v>0</v>
      </c>
      <c r="AG47" s="787">
        <f t="shared" si="21"/>
        <v>0</v>
      </c>
      <c r="AH47" s="788">
        <f t="shared" si="22"/>
        <v>0</v>
      </c>
      <c r="AI47" s="1883" t="s">
        <v>464</v>
      </c>
      <c r="AJ47" s="787">
        <f t="shared" si="23"/>
        <v>0</v>
      </c>
      <c r="AK47" s="787">
        <f t="shared" si="24"/>
        <v>0</v>
      </c>
      <c r="AL47" s="792">
        <f t="shared" si="25"/>
        <v>0</v>
      </c>
      <c r="AM47" s="1138">
        <v>10</v>
      </c>
      <c r="AN47" s="769">
        <v>7</v>
      </c>
      <c r="AO47" s="769">
        <v>20</v>
      </c>
      <c r="AP47" s="769"/>
      <c r="AQ47" s="1249">
        <f t="shared" si="31"/>
        <v>11</v>
      </c>
      <c r="AR47" s="1250">
        <f t="shared" si="27"/>
        <v>9.3829999999999991</v>
      </c>
      <c r="AS47" s="1250">
        <f t="shared" si="28"/>
        <v>9.8230000000000004</v>
      </c>
      <c r="AT47" s="1250">
        <f t="shared" si="29"/>
        <v>7.1829999999999998</v>
      </c>
    </row>
    <row r="48" spans="1:46" ht="14.25" customHeight="1">
      <c r="A48" s="601"/>
      <c r="B48" s="2225">
        <v>0.17</v>
      </c>
      <c r="C48" s="2439" t="s">
        <v>466</v>
      </c>
      <c r="D48" s="2440" t="s">
        <v>467</v>
      </c>
      <c r="E48" s="639"/>
      <c r="F48" s="640"/>
      <c r="G48" s="641">
        <f t="shared" si="26"/>
        <v>0</v>
      </c>
      <c r="H48" s="661">
        <f t="shared" si="30"/>
        <v>0</v>
      </c>
      <c r="I48" s="642">
        <v>17</v>
      </c>
      <c r="J48" s="642">
        <v>0.85</v>
      </c>
      <c r="K48" s="642">
        <v>0.02</v>
      </c>
      <c r="L48" s="638">
        <v>17.100000000000001</v>
      </c>
      <c r="M48" s="646">
        <v>0.1</v>
      </c>
      <c r="N48" s="116">
        <v>100</v>
      </c>
      <c r="O48" s="117">
        <v>100</v>
      </c>
      <c r="P48" s="117">
        <v>0.04</v>
      </c>
      <c r="Q48" s="117">
        <v>0.2</v>
      </c>
      <c r="R48" s="117">
        <v>0.01</v>
      </c>
      <c r="S48" s="118">
        <v>0.09</v>
      </c>
      <c r="T48" s="601"/>
      <c r="U48" s="1151">
        <f t="shared" si="0"/>
        <v>4.0000000000000018</v>
      </c>
      <c r="V48" s="1151">
        <f t="shared" si="1"/>
        <v>113.39800000000005</v>
      </c>
      <c r="W48" s="108"/>
      <c r="X48" s="785">
        <f t="shared" si="12"/>
        <v>0</v>
      </c>
      <c r="Y48" s="786">
        <f t="shared" si="13"/>
        <v>0</v>
      </c>
      <c r="Z48" s="786">
        <f t="shared" si="14"/>
        <v>0</v>
      </c>
      <c r="AA48" s="786">
        <f t="shared" si="15"/>
        <v>0</v>
      </c>
      <c r="AB48" s="786">
        <f t="shared" si="16"/>
        <v>0</v>
      </c>
      <c r="AC48" s="787">
        <f t="shared" si="17"/>
        <v>0</v>
      </c>
      <c r="AD48" s="787">
        <f t="shared" si="18"/>
        <v>0</v>
      </c>
      <c r="AE48" s="787">
        <f t="shared" si="19"/>
        <v>0</v>
      </c>
      <c r="AF48" s="787">
        <f t="shared" si="20"/>
        <v>0</v>
      </c>
      <c r="AG48" s="787">
        <f t="shared" si="21"/>
        <v>0</v>
      </c>
      <c r="AH48" s="788">
        <f t="shared" si="22"/>
        <v>0</v>
      </c>
      <c r="AI48" s="1883" t="s">
        <v>464</v>
      </c>
      <c r="AJ48" s="787">
        <f t="shared" si="23"/>
        <v>0</v>
      </c>
      <c r="AK48" s="787">
        <f t="shared" si="24"/>
        <v>0</v>
      </c>
      <c r="AL48" s="792">
        <f t="shared" si="25"/>
        <v>0</v>
      </c>
      <c r="AM48" s="1138">
        <v>10</v>
      </c>
      <c r="AN48" s="769">
        <v>10</v>
      </c>
      <c r="AO48" s="769">
        <v>14</v>
      </c>
      <c r="AP48" s="769"/>
      <c r="AQ48" s="1249">
        <f>AQ47+0.5</f>
        <v>11.5</v>
      </c>
      <c r="AR48" s="1250">
        <f t="shared" ref="AR48:AR65" si="32">$AQ48*0.853</f>
        <v>9.8094999999999999</v>
      </c>
      <c r="AS48" s="1250">
        <f t="shared" ref="AS48:AS65" si="33">$AQ48*0.893</f>
        <v>10.269500000000001</v>
      </c>
      <c r="AT48" s="1250">
        <f t="shared" ref="AT48:AT65" si="34">$AQ48*0.653</f>
        <v>7.5095000000000001</v>
      </c>
    </row>
    <row r="49" spans="1:46" ht="14.25" customHeight="1">
      <c r="A49" s="601"/>
      <c r="B49" s="2225">
        <v>0.17</v>
      </c>
      <c r="C49" s="2439"/>
      <c r="D49" s="2440" t="s">
        <v>454</v>
      </c>
      <c r="E49" s="639"/>
      <c r="F49" s="640"/>
      <c r="G49" s="641">
        <f t="shared" si="26"/>
        <v>0</v>
      </c>
      <c r="H49" s="661">
        <f t="shared" si="30"/>
        <v>0</v>
      </c>
      <c r="I49" s="642">
        <v>17</v>
      </c>
      <c r="J49" s="642">
        <v>0.85</v>
      </c>
      <c r="K49" s="642">
        <v>0.2</v>
      </c>
      <c r="L49" s="638">
        <v>17.100000000000001</v>
      </c>
      <c r="M49" s="646">
        <v>0.1</v>
      </c>
      <c r="N49" s="116">
        <v>100</v>
      </c>
      <c r="O49" s="117">
        <v>100</v>
      </c>
      <c r="P49" s="117">
        <v>0.04</v>
      </c>
      <c r="Q49" s="117">
        <v>0.2</v>
      </c>
      <c r="R49" s="117">
        <v>0.01</v>
      </c>
      <c r="S49" s="118">
        <v>0.09</v>
      </c>
      <c r="T49" s="601"/>
      <c r="U49" s="1151">
        <f t="shared" si="0"/>
        <v>4.1000000000000014</v>
      </c>
      <c r="V49" s="1151">
        <f t="shared" si="1"/>
        <v>116.23295000000003</v>
      </c>
      <c r="W49" s="108"/>
      <c r="X49" s="785">
        <f t="shared" si="12"/>
        <v>0</v>
      </c>
      <c r="Y49" s="786">
        <f t="shared" si="13"/>
        <v>0</v>
      </c>
      <c r="Z49" s="786">
        <f t="shared" si="14"/>
        <v>0</v>
      </c>
      <c r="AA49" s="786">
        <f t="shared" si="15"/>
        <v>0</v>
      </c>
      <c r="AB49" s="786">
        <f t="shared" si="16"/>
        <v>0</v>
      </c>
      <c r="AC49" s="787">
        <f t="shared" si="17"/>
        <v>0</v>
      </c>
      <c r="AD49" s="787">
        <f t="shared" si="18"/>
        <v>0</v>
      </c>
      <c r="AE49" s="787">
        <f t="shared" si="19"/>
        <v>0</v>
      </c>
      <c r="AF49" s="787">
        <f t="shared" si="20"/>
        <v>0</v>
      </c>
      <c r="AG49" s="787">
        <f t="shared" si="21"/>
        <v>0</v>
      </c>
      <c r="AH49" s="788">
        <f t="shared" si="22"/>
        <v>0</v>
      </c>
      <c r="AI49" s="1883" t="s">
        <v>464</v>
      </c>
      <c r="AJ49" s="787">
        <f t="shared" si="23"/>
        <v>0</v>
      </c>
      <c r="AK49" s="787">
        <f t="shared" si="24"/>
        <v>0</v>
      </c>
      <c r="AL49" s="792">
        <f t="shared" si="25"/>
        <v>0</v>
      </c>
      <c r="AM49" s="1138">
        <v>10</v>
      </c>
      <c r="AN49" s="769">
        <v>10</v>
      </c>
      <c r="AO49" s="769">
        <v>14</v>
      </c>
      <c r="AP49" s="769"/>
      <c r="AQ49" s="1249">
        <f>AQ48+0.5</f>
        <v>12</v>
      </c>
      <c r="AR49" s="1250">
        <f t="shared" si="32"/>
        <v>10.236000000000001</v>
      </c>
      <c r="AS49" s="1250">
        <f t="shared" si="33"/>
        <v>10.716000000000001</v>
      </c>
      <c r="AT49" s="1250">
        <f t="shared" si="34"/>
        <v>7.8360000000000003</v>
      </c>
    </row>
    <row r="50" spans="1:46" ht="14.25" customHeight="1">
      <c r="A50" s="601"/>
      <c r="B50" s="2225">
        <v>0</v>
      </c>
      <c r="C50" s="2439" t="s">
        <v>468</v>
      </c>
      <c r="D50" s="2440" t="s">
        <v>658</v>
      </c>
      <c r="E50" s="1625" t="s">
        <v>15</v>
      </c>
      <c r="F50" s="640"/>
      <c r="G50" s="647">
        <f>F50*29.5735</f>
        <v>0</v>
      </c>
      <c r="H50" s="661">
        <f>B50*G50</f>
        <v>0</v>
      </c>
      <c r="I50" s="642">
        <v>81.25</v>
      </c>
      <c r="J50" s="642">
        <v>2.5</v>
      </c>
      <c r="K50" s="642">
        <v>7.4999999999999997E-2</v>
      </c>
      <c r="L50" s="645">
        <v>87.5</v>
      </c>
      <c r="M50" s="644">
        <v>0.5</v>
      </c>
      <c r="N50" s="648">
        <v>500</v>
      </c>
      <c r="O50" s="648">
        <v>500</v>
      </c>
      <c r="P50" s="116">
        <v>0.16</v>
      </c>
      <c r="Q50" s="116">
        <v>0.8</v>
      </c>
      <c r="R50" s="116">
        <v>0.08</v>
      </c>
      <c r="S50" s="119">
        <v>0.36</v>
      </c>
      <c r="T50" s="601"/>
      <c r="U50" s="1151">
        <f t="shared" si="0"/>
        <v>4.2000000000000011</v>
      </c>
      <c r="V50" s="1151">
        <f t="shared" si="1"/>
        <v>119.06790000000002</v>
      </c>
      <c r="W50" s="108"/>
      <c r="X50" s="785">
        <f>G50*I50/100</f>
        <v>0</v>
      </c>
      <c r="Y50" s="786">
        <f>G50*J50/100</f>
        <v>0</v>
      </c>
      <c r="Z50" s="786">
        <f>G50*K50/100</f>
        <v>0</v>
      </c>
      <c r="AA50" s="786">
        <f>G50*(L50-I50)/100</f>
        <v>0</v>
      </c>
      <c r="AB50" s="786">
        <f>G50*M50/1200</f>
        <v>0</v>
      </c>
      <c r="AC50" s="787">
        <f t="shared" ref="AC50:AH50" si="35">$G50*N50/100</f>
        <v>0</v>
      </c>
      <c r="AD50" s="787">
        <f t="shared" si="35"/>
        <v>0</v>
      </c>
      <c r="AE50" s="787">
        <f t="shared" si="35"/>
        <v>0</v>
      </c>
      <c r="AF50" s="787">
        <f t="shared" si="35"/>
        <v>0</v>
      </c>
      <c r="AG50" s="787">
        <f t="shared" si="35"/>
        <v>0</v>
      </c>
      <c r="AH50" s="788">
        <f t="shared" si="35"/>
        <v>0</v>
      </c>
      <c r="AI50" s="1883" t="s">
        <v>464</v>
      </c>
      <c r="AJ50" s="787">
        <f>$G50*AM50/100</f>
        <v>0</v>
      </c>
      <c r="AK50" s="787">
        <f>$G50*AN50/100</f>
        <v>0</v>
      </c>
      <c r="AL50" s="792">
        <f>$G50*AO50/100</f>
        <v>0</v>
      </c>
      <c r="AM50" s="1138">
        <v>40</v>
      </c>
      <c r="AN50" s="769">
        <v>40</v>
      </c>
      <c r="AO50" s="769">
        <v>52</v>
      </c>
      <c r="AP50" s="769"/>
      <c r="AQ50" s="1249">
        <f>AQ49+0.5</f>
        <v>12.5</v>
      </c>
      <c r="AR50" s="1250">
        <f t="shared" si="32"/>
        <v>10.6625</v>
      </c>
      <c r="AS50" s="1250">
        <f t="shared" si="33"/>
        <v>11.1625</v>
      </c>
      <c r="AT50" s="1250">
        <f t="shared" si="34"/>
        <v>8.1624999999999996</v>
      </c>
    </row>
    <row r="51" spans="1:46" ht="14.25" customHeight="1">
      <c r="A51" s="601"/>
      <c r="B51" s="2225">
        <v>0</v>
      </c>
      <c r="C51" s="2441"/>
      <c r="D51" s="2440" t="s">
        <v>659</v>
      </c>
      <c r="E51" s="1625" t="s">
        <v>15</v>
      </c>
      <c r="F51" s="640"/>
      <c r="G51" s="647">
        <f>F51*29.5735</f>
        <v>0</v>
      </c>
      <c r="H51" s="661">
        <f t="shared" si="30"/>
        <v>0</v>
      </c>
      <c r="I51" s="642">
        <v>81.25</v>
      </c>
      <c r="J51" s="642">
        <v>2.5</v>
      </c>
      <c r="K51" s="642">
        <v>0.75</v>
      </c>
      <c r="L51" s="645">
        <v>87.5</v>
      </c>
      <c r="M51" s="644">
        <v>0.625</v>
      </c>
      <c r="N51" s="648">
        <v>625</v>
      </c>
      <c r="O51" s="648">
        <v>625</v>
      </c>
      <c r="P51" s="116">
        <v>0.16</v>
      </c>
      <c r="Q51" s="116">
        <v>0.8</v>
      </c>
      <c r="R51" s="116">
        <v>0.08</v>
      </c>
      <c r="S51" s="119">
        <v>0.36</v>
      </c>
      <c r="T51" s="601"/>
      <c r="U51" s="1151">
        <f t="shared" si="0"/>
        <v>4.3000000000000007</v>
      </c>
      <c r="V51" s="1151">
        <f t="shared" si="1"/>
        <v>121.90285000000002</v>
      </c>
      <c r="W51" s="108"/>
      <c r="X51" s="785">
        <f t="shared" si="12"/>
        <v>0</v>
      </c>
      <c r="Y51" s="786">
        <f t="shared" si="13"/>
        <v>0</v>
      </c>
      <c r="Z51" s="786">
        <f t="shared" si="14"/>
        <v>0</v>
      </c>
      <c r="AA51" s="786">
        <f t="shared" si="15"/>
        <v>0</v>
      </c>
      <c r="AB51" s="786">
        <f t="shared" si="16"/>
        <v>0</v>
      </c>
      <c r="AC51" s="787">
        <f t="shared" si="17"/>
        <v>0</v>
      </c>
      <c r="AD51" s="787">
        <f t="shared" si="18"/>
        <v>0</v>
      </c>
      <c r="AE51" s="787">
        <f t="shared" si="19"/>
        <v>0</v>
      </c>
      <c r="AF51" s="787">
        <f t="shared" si="20"/>
        <v>0</v>
      </c>
      <c r="AG51" s="787">
        <f t="shared" si="21"/>
        <v>0</v>
      </c>
      <c r="AH51" s="788">
        <f t="shared" si="22"/>
        <v>0</v>
      </c>
      <c r="AI51" s="1883" t="s">
        <v>464</v>
      </c>
      <c r="AJ51" s="787">
        <f t="shared" si="23"/>
        <v>0</v>
      </c>
      <c r="AK51" s="787">
        <f t="shared" si="24"/>
        <v>0</v>
      </c>
      <c r="AL51" s="792">
        <f t="shared" si="25"/>
        <v>0</v>
      </c>
      <c r="AM51" s="1138">
        <v>40</v>
      </c>
      <c r="AN51" s="769">
        <v>40</v>
      </c>
      <c r="AO51" s="769">
        <v>52</v>
      </c>
      <c r="AP51" s="769"/>
      <c r="AQ51" s="1249">
        <f t="shared" ref="AQ51:AQ57" si="36">AQ50+0.5</f>
        <v>13</v>
      </c>
      <c r="AR51" s="1250">
        <f t="shared" si="32"/>
        <v>11.089</v>
      </c>
      <c r="AS51" s="1250">
        <f t="shared" si="33"/>
        <v>11.609</v>
      </c>
      <c r="AT51" s="1250">
        <f t="shared" si="34"/>
        <v>8.4890000000000008</v>
      </c>
    </row>
    <row r="52" spans="1:46" ht="14.25" customHeight="1">
      <c r="A52" s="601"/>
      <c r="B52" s="2225">
        <v>0</v>
      </c>
      <c r="C52" s="2442" t="s">
        <v>469</v>
      </c>
      <c r="D52" s="2443" t="s">
        <v>1164</v>
      </c>
      <c r="E52" s="1625" t="s">
        <v>149</v>
      </c>
      <c r="F52" s="2717">
        <f>G52/29.5735</f>
        <v>0</v>
      </c>
      <c r="G52" s="650">
        <v>0</v>
      </c>
      <c r="H52" s="661">
        <f t="shared" si="30"/>
        <v>0</v>
      </c>
      <c r="I52" s="642">
        <v>81.25</v>
      </c>
      <c r="J52" s="642">
        <v>2.5</v>
      </c>
      <c r="K52" s="642">
        <v>7.4999999999999997E-2</v>
      </c>
      <c r="L52" s="645">
        <v>87.5</v>
      </c>
      <c r="M52" s="644">
        <v>0.5</v>
      </c>
      <c r="N52" s="648">
        <v>500</v>
      </c>
      <c r="O52" s="648">
        <v>500</v>
      </c>
      <c r="P52" s="116">
        <v>0.16</v>
      </c>
      <c r="Q52" s="116">
        <v>0.8</v>
      </c>
      <c r="R52" s="116">
        <v>0.08</v>
      </c>
      <c r="S52" s="119">
        <v>0.36</v>
      </c>
      <c r="T52" s="601"/>
      <c r="U52" s="1151">
        <f t="shared" si="0"/>
        <v>4.4000000000000004</v>
      </c>
      <c r="V52" s="1151">
        <f t="shared" si="1"/>
        <v>124.73780000000001</v>
      </c>
      <c r="W52" s="108"/>
      <c r="X52" s="785">
        <f t="shared" si="12"/>
        <v>0</v>
      </c>
      <c r="Y52" s="786">
        <f t="shared" si="13"/>
        <v>0</v>
      </c>
      <c r="Z52" s="786">
        <f t="shared" si="14"/>
        <v>0</v>
      </c>
      <c r="AA52" s="786">
        <f>G52*(L52-I52)/100</f>
        <v>0</v>
      </c>
      <c r="AB52" s="786">
        <f t="shared" si="16"/>
        <v>0</v>
      </c>
      <c r="AC52" s="787">
        <f t="shared" si="17"/>
        <v>0</v>
      </c>
      <c r="AD52" s="787">
        <f t="shared" si="18"/>
        <v>0</v>
      </c>
      <c r="AE52" s="787">
        <f t="shared" si="19"/>
        <v>0</v>
      </c>
      <c r="AF52" s="787">
        <f t="shared" si="20"/>
        <v>0</v>
      </c>
      <c r="AG52" s="787">
        <f t="shared" si="21"/>
        <v>0</v>
      </c>
      <c r="AH52" s="788">
        <f t="shared" si="22"/>
        <v>0</v>
      </c>
      <c r="AI52" s="1883" t="s">
        <v>464</v>
      </c>
      <c r="AJ52" s="787">
        <f t="shared" si="23"/>
        <v>0</v>
      </c>
      <c r="AK52" s="787">
        <f t="shared" si="24"/>
        <v>0</v>
      </c>
      <c r="AL52" s="792">
        <f t="shared" si="25"/>
        <v>0</v>
      </c>
      <c r="AM52" s="793">
        <f t="shared" ref="AM52:AO53" si="37">1.25*AM51</f>
        <v>50</v>
      </c>
      <c r="AN52" s="793">
        <f t="shared" si="37"/>
        <v>50</v>
      </c>
      <c r="AO52" s="793">
        <f t="shared" si="37"/>
        <v>65</v>
      </c>
      <c r="AP52" s="769"/>
      <c r="AQ52" s="1249">
        <f t="shared" si="36"/>
        <v>13.5</v>
      </c>
      <c r="AR52" s="1250">
        <f t="shared" si="32"/>
        <v>11.515499999999999</v>
      </c>
      <c r="AS52" s="1250">
        <f t="shared" si="33"/>
        <v>12.0555</v>
      </c>
      <c r="AT52" s="1250">
        <f t="shared" si="34"/>
        <v>8.8155000000000001</v>
      </c>
    </row>
    <row r="53" spans="1:46" ht="14.25" customHeight="1">
      <c r="A53" s="601"/>
      <c r="B53" s="2225">
        <v>0</v>
      </c>
      <c r="C53" s="2442" t="s">
        <v>469</v>
      </c>
      <c r="D53" s="2443" t="s">
        <v>454</v>
      </c>
      <c r="E53" s="1625" t="s">
        <v>149</v>
      </c>
      <c r="F53" s="649">
        <f>G53/29.5735</f>
        <v>0</v>
      </c>
      <c r="G53" s="650">
        <v>0</v>
      </c>
      <c r="H53" s="661">
        <f t="shared" si="30"/>
        <v>0</v>
      </c>
      <c r="I53" s="642">
        <v>81.25</v>
      </c>
      <c r="J53" s="642">
        <v>2.5</v>
      </c>
      <c r="K53" s="642">
        <v>0.75</v>
      </c>
      <c r="L53" s="645">
        <v>87.5</v>
      </c>
      <c r="M53" s="644">
        <v>0.625</v>
      </c>
      <c r="N53" s="648">
        <v>625</v>
      </c>
      <c r="O53" s="648">
        <v>625</v>
      </c>
      <c r="P53" s="116">
        <v>0.16</v>
      </c>
      <c r="Q53" s="116">
        <v>0.8</v>
      </c>
      <c r="R53" s="116">
        <v>0.08</v>
      </c>
      <c r="S53" s="119">
        <v>0.36</v>
      </c>
      <c r="T53" s="601"/>
      <c r="U53" s="1151">
        <f t="shared" si="0"/>
        <v>4.5</v>
      </c>
      <c r="V53" s="1151">
        <f t="shared" si="1"/>
        <v>127.57275</v>
      </c>
      <c r="W53" s="108"/>
      <c r="X53" s="785">
        <f t="shared" si="12"/>
        <v>0</v>
      </c>
      <c r="Y53" s="786">
        <f t="shared" si="13"/>
        <v>0</v>
      </c>
      <c r="Z53" s="786">
        <f t="shared" si="14"/>
        <v>0</v>
      </c>
      <c r="AA53" s="786">
        <f t="shared" si="15"/>
        <v>0</v>
      </c>
      <c r="AB53" s="786">
        <f t="shared" si="16"/>
        <v>0</v>
      </c>
      <c r="AC53" s="787">
        <f t="shared" si="17"/>
        <v>0</v>
      </c>
      <c r="AD53" s="787">
        <f t="shared" si="18"/>
        <v>0</v>
      </c>
      <c r="AE53" s="787">
        <f t="shared" si="19"/>
        <v>0</v>
      </c>
      <c r="AF53" s="787">
        <f t="shared" si="20"/>
        <v>0</v>
      </c>
      <c r="AG53" s="787">
        <f t="shared" si="21"/>
        <v>0</v>
      </c>
      <c r="AH53" s="788">
        <f t="shared" si="22"/>
        <v>0</v>
      </c>
      <c r="AI53" s="1883" t="s">
        <v>464</v>
      </c>
      <c r="AJ53" s="787">
        <f t="shared" si="23"/>
        <v>0</v>
      </c>
      <c r="AK53" s="787">
        <f t="shared" si="24"/>
        <v>0</v>
      </c>
      <c r="AL53" s="792">
        <f t="shared" si="25"/>
        <v>0</v>
      </c>
      <c r="AM53" s="793">
        <f t="shared" si="37"/>
        <v>62.5</v>
      </c>
      <c r="AN53" s="793">
        <f t="shared" si="37"/>
        <v>62.5</v>
      </c>
      <c r="AO53" s="793">
        <f t="shared" si="37"/>
        <v>81.25</v>
      </c>
      <c r="AP53" s="769"/>
      <c r="AQ53" s="1249">
        <f t="shared" si="36"/>
        <v>14</v>
      </c>
      <c r="AR53" s="1250">
        <f t="shared" si="32"/>
        <v>11.942</v>
      </c>
      <c r="AS53" s="1250">
        <f t="shared" si="33"/>
        <v>12.502000000000001</v>
      </c>
      <c r="AT53" s="1250">
        <f t="shared" si="34"/>
        <v>9.1419999999999995</v>
      </c>
    </row>
    <row r="54" spans="1:46" ht="14.25" customHeight="1">
      <c r="A54" s="601"/>
      <c r="B54" s="2225">
        <v>0.1</v>
      </c>
      <c r="C54" s="2441" t="s">
        <v>470</v>
      </c>
      <c r="D54" s="2440" t="s">
        <v>444</v>
      </c>
      <c r="E54" s="639"/>
      <c r="F54" s="640"/>
      <c r="G54" s="641">
        <f t="shared" si="26"/>
        <v>0</v>
      </c>
      <c r="H54" s="661">
        <f t="shared" si="30"/>
        <v>0</v>
      </c>
      <c r="I54" s="642">
        <v>6.8</v>
      </c>
      <c r="J54" s="642">
        <v>2</v>
      </c>
      <c r="K54" s="645">
        <v>0.1</v>
      </c>
      <c r="L54" s="628">
        <v>8</v>
      </c>
      <c r="M54" s="646">
        <v>1.6</v>
      </c>
      <c r="N54" s="117">
        <v>50</v>
      </c>
      <c r="O54" s="117">
        <v>135</v>
      </c>
      <c r="P54" s="117">
        <v>3.5999999999999997E-2</v>
      </c>
      <c r="Q54" s="117">
        <v>0.25</v>
      </c>
      <c r="R54" s="117">
        <v>0.28299999999999997</v>
      </c>
      <c r="S54" s="118">
        <v>4.2000000000000003E-2</v>
      </c>
      <c r="T54" s="601"/>
      <c r="U54" s="1151">
        <f t="shared" si="0"/>
        <v>4.5999999999999996</v>
      </c>
      <c r="V54" s="1151">
        <f t="shared" si="1"/>
        <v>130.40769999999998</v>
      </c>
      <c r="W54" s="108"/>
      <c r="X54" s="785">
        <f t="shared" si="12"/>
        <v>0</v>
      </c>
      <c r="Y54" s="786">
        <f t="shared" si="13"/>
        <v>0</v>
      </c>
      <c r="Z54" s="786">
        <f t="shared" si="14"/>
        <v>0</v>
      </c>
      <c r="AA54" s="786">
        <f t="shared" si="15"/>
        <v>0</v>
      </c>
      <c r="AB54" s="786">
        <f t="shared" si="16"/>
        <v>0</v>
      </c>
      <c r="AC54" s="787">
        <f t="shared" si="17"/>
        <v>0</v>
      </c>
      <c r="AD54" s="787">
        <f t="shared" si="18"/>
        <v>0</v>
      </c>
      <c r="AE54" s="787">
        <f t="shared" si="19"/>
        <v>0</v>
      </c>
      <c r="AF54" s="787">
        <f t="shared" si="20"/>
        <v>0</v>
      </c>
      <c r="AG54" s="787">
        <f t="shared" si="21"/>
        <v>0</v>
      </c>
      <c r="AH54" s="788">
        <f t="shared" si="22"/>
        <v>0</v>
      </c>
      <c r="AI54" s="1883" t="s">
        <v>25</v>
      </c>
      <c r="AJ54" s="787">
        <f t="shared" si="23"/>
        <v>0</v>
      </c>
      <c r="AK54" s="787">
        <f t="shared" si="24"/>
        <v>0</v>
      </c>
      <c r="AL54" s="792">
        <f t="shared" si="25"/>
        <v>0</v>
      </c>
      <c r="AM54" s="1138">
        <v>22</v>
      </c>
      <c r="AN54" s="769">
        <v>9</v>
      </c>
      <c r="AO54" s="769">
        <v>18</v>
      </c>
      <c r="AP54" s="769"/>
      <c r="AQ54" s="1249">
        <f t="shared" si="36"/>
        <v>14.5</v>
      </c>
      <c r="AR54" s="1250">
        <f t="shared" si="32"/>
        <v>12.368499999999999</v>
      </c>
      <c r="AS54" s="1250">
        <f t="shared" si="33"/>
        <v>12.948500000000001</v>
      </c>
      <c r="AT54" s="1250">
        <f t="shared" si="34"/>
        <v>9.4685000000000006</v>
      </c>
    </row>
    <row r="55" spans="1:46" ht="14.25" customHeight="1">
      <c r="A55" s="601"/>
      <c r="B55" s="2225">
        <v>0</v>
      </c>
      <c r="C55" s="2439"/>
      <c r="D55" s="2440" t="s">
        <v>459</v>
      </c>
      <c r="E55" s="639"/>
      <c r="F55" s="640"/>
      <c r="G55" s="641">
        <f t="shared" si="26"/>
        <v>0</v>
      </c>
      <c r="H55" s="661">
        <f t="shared" si="30"/>
        <v>0</v>
      </c>
      <c r="I55" s="642">
        <v>9</v>
      </c>
      <c r="J55" s="642">
        <v>1.8</v>
      </c>
      <c r="K55" s="645">
        <v>0.01</v>
      </c>
      <c r="L55" s="628">
        <v>9.1999999999999993</v>
      </c>
      <c r="M55" s="644">
        <v>0.2</v>
      </c>
      <c r="N55" s="116">
        <v>50</v>
      </c>
      <c r="O55" s="117">
        <v>162</v>
      </c>
      <c r="P55" s="117">
        <v>0.04</v>
      </c>
      <c r="Q55" s="117">
        <v>0.2</v>
      </c>
      <c r="R55" s="117">
        <v>0.189</v>
      </c>
      <c r="S55" s="118">
        <v>4.3999999999999997E-2</v>
      </c>
      <c r="T55" s="601"/>
      <c r="U55" s="1151">
        <f t="shared" si="0"/>
        <v>4.6999999999999993</v>
      </c>
      <c r="V55" s="1151">
        <f t="shared" si="1"/>
        <v>133.24264999999997</v>
      </c>
      <c r="W55" s="108"/>
      <c r="X55" s="785">
        <f t="shared" si="12"/>
        <v>0</v>
      </c>
      <c r="Y55" s="786">
        <f t="shared" si="13"/>
        <v>0</v>
      </c>
      <c r="Z55" s="786">
        <f t="shared" si="14"/>
        <v>0</v>
      </c>
      <c r="AA55" s="786">
        <f t="shared" si="15"/>
        <v>0</v>
      </c>
      <c r="AB55" s="786">
        <f t="shared" si="16"/>
        <v>0</v>
      </c>
      <c r="AC55" s="787">
        <f t="shared" si="17"/>
        <v>0</v>
      </c>
      <c r="AD55" s="787">
        <f t="shared" si="18"/>
        <v>0</v>
      </c>
      <c r="AE55" s="787">
        <f t="shared" si="19"/>
        <v>0</v>
      </c>
      <c r="AF55" s="787">
        <f t="shared" si="20"/>
        <v>0</v>
      </c>
      <c r="AG55" s="787">
        <f t="shared" si="21"/>
        <v>0</v>
      </c>
      <c r="AH55" s="788">
        <f t="shared" si="22"/>
        <v>0</v>
      </c>
      <c r="AI55" s="1883" t="s">
        <v>25</v>
      </c>
      <c r="AJ55" s="787">
        <f t="shared" si="23"/>
        <v>0</v>
      </c>
      <c r="AK55" s="787">
        <f t="shared" si="24"/>
        <v>0</v>
      </c>
      <c r="AL55" s="792">
        <f t="shared" si="25"/>
        <v>0</v>
      </c>
      <c r="AM55" s="1138">
        <v>9</v>
      </c>
      <c r="AN55" s="769">
        <v>12</v>
      </c>
      <c r="AO55" s="769">
        <v>15</v>
      </c>
      <c r="AP55" s="769"/>
      <c r="AQ55" s="1249">
        <f t="shared" si="36"/>
        <v>15</v>
      </c>
      <c r="AR55" s="1250">
        <f t="shared" si="32"/>
        <v>12.795</v>
      </c>
      <c r="AS55" s="1250">
        <f t="shared" si="33"/>
        <v>13.395</v>
      </c>
      <c r="AT55" s="1250">
        <f t="shared" si="34"/>
        <v>9.7949999999999999</v>
      </c>
    </row>
    <row r="56" spans="1:46" ht="14.25" customHeight="1">
      <c r="A56" s="601"/>
      <c r="B56" s="2225">
        <v>0.16</v>
      </c>
      <c r="C56" s="2439" t="s">
        <v>471</v>
      </c>
      <c r="D56" s="2440"/>
      <c r="E56" s="639"/>
      <c r="F56" s="640"/>
      <c r="G56" s="641">
        <f>453.6*(E56+F56/16)</f>
        <v>0</v>
      </c>
      <c r="H56" s="661">
        <f t="shared" si="30"/>
        <v>0</v>
      </c>
      <c r="I56" s="642">
        <v>11</v>
      </c>
      <c r="J56" s="642">
        <v>1.2</v>
      </c>
      <c r="K56" s="645">
        <v>0.1</v>
      </c>
      <c r="L56" s="638">
        <v>12</v>
      </c>
      <c r="M56" s="646">
        <v>0.9</v>
      </c>
      <c r="N56" s="117">
        <v>120</v>
      </c>
      <c r="O56" s="116">
        <v>155</v>
      </c>
      <c r="P56" s="116">
        <v>2.8000000000000001E-2</v>
      </c>
      <c r="Q56" s="116">
        <v>0.41699999999999998</v>
      </c>
      <c r="R56" s="116">
        <v>0.13500000000000001</v>
      </c>
      <c r="S56" s="119">
        <v>2.9000000000000001E-2</v>
      </c>
      <c r="T56" s="601"/>
      <c r="U56" s="1151">
        <f t="shared" si="0"/>
        <v>4.7999999999999989</v>
      </c>
      <c r="V56" s="1151">
        <f t="shared" si="1"/>
        <v>136.07759999999996</v>
      </c>
      <c r="W56" s="108"/>
      <c r="X56" s="785">
        <f t="shared" ref="X56:X94" si="38">G56*I56/100</f>
        <v>0</v>
      </c>
      <c r="Y56" s="786">
        <f t="shared" ref="Y56:Y94" si="39">G56*J56/100</f>
        <v>0</v>
      </c>
      <c r="Z56" s="786">
        <f t="shared" ref="Z56:Z94" si="40">G56*K56/100</f>
        <v>0</v>
      </c>
      <c r="AA56" s="786">
        <f t="shared" ref="AA56:AA94" si="41">G56*(L56-I56)/100</f>
        <v>0</v>
      </c>
      <c r="AB56" s="786">
        <f t="shared" ref="AB56:AB94" si="42">G56*M56/1200</f>
        <v>0</v>
      </c>
      <c r="AC56" s="787">
        <f t="shared" ref="AC56:AC94" si="43">$G56*N56/100</f>
        <v>0</v>
      </c>
      <c r="AD56" s="787">
        <f t="shared" ref="AD56:AD94" si="44">$G56*O56/100</f>
        <v>0</v>
      </c>
      <c r="AE56" s="787">
        <f t="shared" ref="AE56:AE94" si="45">$G56*P56/100</f>
        <v>0</v>
      </c>
      <c r="AF56" s="787">
        <f t="shared" ref="AF56:AF94" si="46">$G56*Q56/100</f>
        <v>0</v>
      </c>
      <c r="AG56" s="787">
        <f t="shared" ref="AG56:AG94" si="47">$G56*R56/100</f>
        <v>0</v>
      </c>
      <c r="AH56" s="788">
        <f t="shared" ref="AH56:AH94" si="48">$G56*S56/100</f>
        <v>0</v>
      </c>
      <c r="AI56" s="1883" t="s">
        <v>436</v>
      </c>
      <c r="AJ56" s="787">
        <f t="shared" ref="AJ56:AJ94" si="49">$G56*AM56/100</f>
        <v>0</v>
      </c>
      <c r="AK56" s="787">
        <f t="shared" ref="AK56:AK94" si="50">$G56*AN56/100</f>
        <v>0</v>
      </c>
      <c r="AL56" s="792">
        <f t="shared" ref="AL56:AL94" si="51">$G56*AO56/100</f>
        <v>0</v>
      </c>
      <c r="AM56" s="1884">
        <v>6</v>
      </c>
      <c r="AN56" s="1884">
        <v>7</v>
      </c>
      <c r="AO56" s="1884">
        <v>16</v>
      </c>
      <c r="AP56" s="769"/>
      <c r="AQ56" s="1249">
        <f t="shared" si="36"/>
        <v>15.5</v>
      </c>
      <c r="AR56" s="1250">
        <f t="shared" si="32"/>
        <v>13.221499999999999</v>
      </c>
      <c r="AS56" s="1250">
        <f t="shared" si="33"/>
        <v>13.8415</v>
      </c>
      <c r="AT56" s="1250">
        <f t="shared" si="34"/>
        <v>10.121500000000001</v>
      </c>
    </row>
    <row r="57" spans="1:46" ht="14.25" customHeight="1">
      <c r="A57" s="601"/>
      <c r="B57" s="2225">
        <v>0.14000000000000001</v>
      </c>
      <c r="C57" s="2439" t="s">
        <v>472</v>
      </c>
      <c r="D57" s="2440"/>
      <c r="E57" s="639"/>
      <c r="F57" s="640"/>
      <c r="G57" s="641">
        <f t="shared" si="26"/>
        <v>0</v>
      </c>
      <c r="H57" s="661">
        <f t="shared" si="30"/>
        <v>0</v>
      </c>
      <c r="I57" s="642">
        <v>8.6</v>
      </c>
      <c r="J57" s="642">
        <v>0.4</v>
      </c>
      <c r="K57" s="645">
        <v>0.1</v>
      </c>
      <c r="L57" s="628">
        <v>14</v>
      </c>
      <c r="M57" s="644">
        <v>0.5</v>
      </c>
      <c r="N57" s="116">
        <v>50</v>
      </c>
      <c r="O57" s="117">
        <v>290</v>
      </c>
      <c r="P57" s="117">
        <v>6.7000000000000004E-2</v>
      </c>
      <c r="Q57" s="117">
        <v>1.04</v>
      </c>
      <c r="R57" s="117">
        <v>0.45100000000000001</v>
      </c>
      <c r="S57" s="118">
        <v>0.11</v>
      </c>
      <c r="T57" s="601"/>
      <c r="U57" s="1151">
        <f t="shared" si="0"/>
        <v>4.8999999999999986</v>
      </c>
      <c r="V57" s="1151">
        <f t="shared" si="1"/>
        <v>138.91254999999995</v>
      </c>
      <c r="W57" s="108"/>
      <c r="X57" s="785">
        <f t="shared" si="38"/>
        <v>0</v>
      </c>
      <c r="Y57" s="786">
        <f t="shared" si="39"/>
        <v>0</v>
      </c>
      <c r="Z57" s="786">
        <f t="shared" si="40"/>
        <v>0</v>
      </c>
      <c r="AA57" s="786">
        <f t="shared" si="41"/>
        <v>0</v>
      </c>
      <c r="AB57" s="786">
        <f t="shared" si="42"/>
        <v>0</v>
      </c>
      <c r="AC57" s="787">
        <f t="shared" si="43"/>
        <v>0</v>
      </c>
      <c r="AD57" s="787">
        <f t="shared" si="44"/>
        <v>0</v>
      </c>
      <c r="AE57" s="787">
        <f t="shared" si="45"/>
        <v>0</v>
      </c>
      <c r="AF57" s="787">
        <f t="shared" si="46"/>
        <v>0</v>
      </c>
      <c r="AG57" s="787">
        <f t="shared" si="47"/>
        <v>0</v>
      </c>
      <c r="AH57" s="788">
        <f t="shared" si="48"/>
        <v>0</v>
      </c>
      <c r="AI57" s="1883"/>
      <c r="AJ57" s="787">
        <f t="shared" si="49"/>
        <v>0</v>
      </c>
      <c r="AK57" s="787">
        <f t="shared" si="50"/>
        <v>0</v>
      </c>
      <c r="AL57" s="792">
        <f t="shared" si="51"/>
        <v>0</v>
      </c>
      <c r="AM57" s="1138">
        <v>21</v>
      </c>
      <c r="AN57" s="769">
        <v>17</v>
      </c>
      <c r="AO57" s="769">
        <v>27</v>
      </c>
      <c r="AP57" s="769"/>
      <c r="AQ57" s="1249">
        <f t="shared" si="36"/>
        <v>16</v>
      </c>
      <c r="AR57" s="1250">
        <f t="shared" si="32"/>
        <v>13.648</v>
      </c>
      <c r="AS57" s="1250">
        <f t="shared" si="33"/>
        <v>14.288</v>
      </c>
      <c r="AT57" s="1250">
        <f t="shared" si="34"/>
        <v>10.448</v>
      </c>
    </row>
    <row r="58" spans="1:46" ht="14.25" customHeight="1">
      <c r="A58" s="601"/>
      <c r="B58" s="2225">
        <v>0</v>
      </c>
      <c r="C58" s="2439" t="s">
        <v>660</v>
      </c>
      <c r="D58" s="2440"/>
      <c r="E58" s="651"/>
      <c r="F58" s="652"/>
      <c r="G58" s="641">
        <f t="shared" si="26"/>
        <v>0</v>
      </c>
      <c r="H58" s="661">
        <f t="shared" si="30"/>
        <v>0</v>
      </c>
      <c r="I58" s="642">
        <v>80</v>
      </c>
      <c r="J58" s="642">
        <v>0.5</v>
      </c>
      <c r="K58" s="642">
        <v>0</v>
      </c>
      <c r="L58" s="638">
        <v>80</v>
      </c>
      <c r="M58" s="646">
        <v>0.01</v>
      </c>
      <c r="N58" s="116">
        <v>0</v>
      </c>
      <c r="O58" s="117">
        <v>52</v>
      </c>
      <c r="P58" s="117">
        <v>0</v>
      </c>
      <c r="Q58" s="117">
        <v>0.121</v>
      </c>
      <c r="R58" s="117">
        <v>6.8000000000000005E-2</v>
      </c>
      <c r="S58" s="118">
        <v>2.4E-2</v>
      </c>
      <c r="T58" s="601"/>
      <c r="U58" s="1151">
        <f t="shared" si="0"/>
        <v>4.9999999999999982</v>
      </c>
      <c r="V58" s="1151">
        <f t="shared" si="1"/>
        <v>141.74749999999995</v>
      </c>
      <c r="W58" s="108"/>
      <c r="X58" s="785">
        <f t="shared" si="38"/>
        <v>0</v>
      </c>
      <c r="Y58" s="786">
        <f t="shared" si="39"/>
        <v>0</v>
      </c>
      <c r="Z58" s="786">
        <f t="shared" si="40"/>
        <v>0</v>
      </c>
      <c r="AA58" s="786">
        <f t="shared" si="41"/>
        <v>0</v>
      </c>
      <c r="AB58" s="786">
        <f t="shared" si="42"/>
        <v>0</v>
      </c>
      <c r="AC58" s="787">
        <f t="shared" si="43"/>
        <v>0</v>
      </c>
      <c r="AD58" s="787">
        <f t="shared" si="44"/>
        <v>0</v>
      </c>
      <c r="AE58" s="787">
        <f t="shared" si="45"/>
        <v>0</v>
      </c>
      <c r="AF58" s="787">
        <f t="shared" si="46"/>
        <v>0</v>
      </c>
      <c r="AG58" s="787">
        <f t="shared" si="47"/>
        <v>0</v>
      </c>
      <c r="AH58" s="788">
        <f t="shared" si="48"/>
        <v>0</v>
      </c>
      <c r="AI58" s="1883"/>
      <c r="AJ58" s="787">
        <f t="shared" si="49"/>
        <v>0</v>
      </c>
      <c r="AK58" s="787">
        <f t="shared" si="50"/>
        <v>0</v>
      </c>
      <c r="AL58" s="792">
        <f t="shared" si="51"/>
        <v>0</v>
      </c>
      <c r="AM58" s="1138">
        <v>6</v>
      </c>
      <c r="AN58" s="769">
        <v>2</v>
      </c>
      <c r="AO58" s="769">
        <v>4</v>
      </c>
      <c r="AP58" s="769"/>
      <c r="AQ58" s="1249">
        <f t="shared" ref="AQ58:AQ64" si="52">AQ57+0.5</f>
        <v>16.5</v>
      </c>
      <c r="AR58" s="1250">
        <f t="shared" si="32"/>
        <v>14.0745</v>
      </c>
      <c r="AS58" s="1250">
        <f t="shared" si="33"/>
        <v>14.734500000000001</v>
      </c>
      <c r="AT58" s="1250">
        <f t="shared" si="34"/>
        <v>10.7745</v>
      </c>
    </row>
    <row r="59" spans="1:46" ht="14.25" customHeight="1">
      <c r="A59" s="601"/>
      <c r="B59" s="2225">
        <v>0.16</v>
      </c>
      <c r="C59" s="2439" t="s">
        <v>473</v>
      </c>
      <c r="D59" s="2440"/>
      <c r="E59" s="639"/>
      <c r="F59" s="640"/>
      <c r="G59" s="641">
        <f t="shared" si="26"/>
        <v>0</v>
      </c>
      <c r="H59" s="661">
        <f t="shared" ref="H59:H92" si="53">B59*G59</f>
        <v>0</v>
      </c>
      <c r="I59" s="653">
        <v>14</v>
      </c>
      <c r="J59" s="653">
        <v>3</v>
      </c>
      <c r="K59" s="645">
        <v>0.1</v>
      </c>
      <c r="L59" s="628">
        <v>15</v>
      </c>
      <c r="M59" s="644">
        <v>0.5</v>
      </c>
      <c r="N59" s="116">
        <v>50</v>
      </c>
      <c r="O59" s="117">
        <v>312</v>
      </c>
      <c r="P59" s="117">
        <v>2.7E-2</v>
      </c>
      <c r="Q59" s="117">
        <v>0.34100000000000003</v>
      </c>
      <c r="R59" s="117">
        <v>0.183</v>
      </c>
      <c r="S59" s="118">
        <v>6.3E-2</v>
      </c>
      <c r="T59" s="601"/>
      <c r="U59" s="1151">
        <f t="shared" si="0"/>
        <v>5.0999999999999979</v>
      </c>
      <c r="V59" s="1151">
        <f t="shared" si="1"/>
        <v>144.58244999999994</v>
      </c>
      <c r="W59" s="108"/>
      <c r="X59" s="785">
        <f t="shared" si="38"/>
        <v>0</v>
      </c>
      <c r="Y59" s="786">
        <f t="shared" si="39"/>
        <v>0</v>
      </c>
      <c r="Z59" s="786">
        <f t="shared" si="40"/>
        <v>0</v>
      </c>
      <c r="AA59" s="786">
        <f t="shared" si="41"/>
        <v>0</v>
      </c>
      <c r="AB59" s="786">
        <f t="shared" si="42"/>
        <v>0</v>
      </c>
      <c r="AC59" s="787">
        <f t="shared" si="43"/>
        <v>0</v>
      </c>
      <c r="AD59" s="787">
        <f t="shared" si="44"/>
        <v>0</v>
      </c>
      <c r="AE59" s="787">
        <f t="shared" si="45"/>
        <v>0</v>
      </c>
      <c r="AF59" s="787">
        <f t="shared" si="46"/>
        <v>0</v>
      </c>
      <c r="AG59" s="787">
        <f t="shared" si="47"/>
        <v>0</v>
      </c>
      <c r="AH59" s="788">
        <f t="shared" si="48"/>
        <v>0</v>
      </c>
      <c r="AI59" s="1883"/>
      <c r="AJ59" s="787">
        <f t="shared" si="49"/>
        <v>0</v>
      </c>
      <c r="AK59" s="787">
        <f t="shared" si="50"/>
        <v>0</v>
      </c>
      <c r="AL59" s="792">
        <f t="shared" si="51"/>
        <v>0</v>
      </c>
      <c r="AM59" s="1138">
        <v>34</v>
      </c>
      <c r="AN59" s="769">
        <v>17</v>
      </c>
      <c r="AO59" s="769">
        <v>34</v>
      </c>
      <c r="AP59" s="769"/>
      <c r="AQ59" s="1249">
        <f t="shared" si="52"/>
        <v>17</v>
      </c>
      <c r="AR59" s="1250">
        <f t="shared" si="32"/>
        <v>14.500999999999999</v>
      </c>
      <c r="AS59" s="1250">
        <f t="shared" si="33"/>
        <v>15.181000000000001</v>
      </c>
      <c r="AT59" s="1250">
        <f t="shared" si="34"/>
        <v>11.101000000000001</v>
      </c>
    </row>
    <row r="60" spans="1:46" ht="14.25" customHeight="1">
      <c r="A60" s="601"/>
      <c r="B60" s="2225">
        <v>0</v>
      </c>
      <c r="C60" s="2439" t="s">
        <v>474</v>
      </c>
      <c r="D60" s="2440" t="s">
        <v>459</v>
      </c>
      <c r="E60" s="639"/>
      <c r="F60" s="640"/>
      <c r="G60" s="641">
        <f t="shared" si="26"/>
        <v>0</v>
      </c>
      <c r="H60" s="661">
        <f t="shared" si="53"/>
        <v>0</v>
      </c>
      <c r="I60" s="642">
        <v>1.5</v>
      </c>
      <c r="J60" s="642">
        <v>4.3</v>
      </c>
      <c r="K60" s="645">
        <v>0.01</v>
      </c>
      <c r="L60" s="628">
        <v>9</v>
      </c>
      <c r="M60" s="644">
        <v>0.2</v>
      </c>
      <c r="N60" s="117">
        <v>150</v>
      </c>
      <c r="O60" s="117">
        <v>124</v>
      </c>
      <c r="P60" s="117">
        <v>0.03</v>
      </c>
      <c r="Q60" s="117">
        <v>0.1</v>
      </c>
      <c r="R60" s="117">
        <v>0.10299999999999999</v>
      </c>
      <c r="S60" s="118">
        <v>0</v>
      </c>
      <c r="T60" s="601"/>
      <c r="U60" s="1151">
        <f t="shared" si="0"/>
        <v>5.1999999999999975</v>
      </c>
      <c r="V60" s="1151">
        <f t="shared" si="1"/>
        <v>147.41739999999993</v>
      </c>
      <c r="W60" s="108"/>
      <c r="X60" s="785">
        <f t="shared" si="38"/>
        <v>0</v>
      </c>
      <c r="Y60" s="786">
        <f t="shared" si="39"/>
        <v>0</v>
      </c>
      <c r="Z60" s="786">
        <f t="shared" si="40"/>
        <v>0</v>
      </c>
      <c r="AA60" s="786">
        <f t="shared" si="41"/>
        <v>0</v>
      </c>
      <c r="AB60" s="786">
        <f t="shared" si="42"/>
        <v>0</v>
      </c>
      <c r="AC60" s="787">
        <f t="shared" si="43"/>
        <v>0</v>
      </c>
      <c r="AD60" s="787">
        <f t="shared" si="44"/>
        <v>0</v>
      </c>
      <c r="AE60" s="787">
        <f t="shared" si="45"/>
        <v>0</v>
      </c>
      <c r="AF60" s="787">
        <f t="shared" si="46"/>
        <v>0</v>
      </c>
      <c r="AG60" s="787">
        <f t="shared" si="47"/>
        <v>0</v>
      </c>
      <c r="AH60" s="788">
        <f t="shared" si="48"/>
        <v>0</v>
      </c>
      <c r="AI60" s="1883" t="s">
        <v>25</v>
      </c>
      <c r="AJ60" s="787">
        <f t="shared" si="49"/>
        <v>0</v>
      </c>
      <c r="AK60" s="787">
        <f t="shared" si="50"/>
        <v>0</v>
      </c>
      <c r="AL60" s="792">
        <f t="shared" si="51"/>
        <v>0</v>
      </c>
      <c r="AM60" s="1138">
        <v>7</v>
      </c>
      <c r="AN60" s="769">
        <v>6</v>
      </c>
      <c r="AO60" s="769">
        <v>6</v>
      </c>
      <c r="AP60" s="769"/>
      <c r="AQ60" s="1249">
        <f t="shared" si="52"/>
        <v>17.5</v>
      </c>
      <c r="AR60" s="1250">
        <f t="shared" si="32"/>
        <v>14.9275</v>
      </c>
      <c r="AS60" s="1250">
        <f t="shared" si="33"/>
        <v>15.6275</v>
      </c>
      <c r="AT60" s="1250">
        <f t="shared" si="34"/>
        <v>11.4275</v>
      </c>
    </row>
    <row r="61" spans="1:46" ht="14.25" customHeight="1">
      <c r="A61" s="601"/>
      <c r="B61" s="2225">
        <v>0.19</v>
      </c>
      <c r="C61" s="2439" t="s">
        <v>475</v>
      </c>
      <c r="D61" s="2440"/>
      <c r="E61" s="639"/>
      <c r="F61" s="640"/>
      <c r="G61" s="641">
        <f t="shared" si="26"/>
        <v>0</v>
      </c>
      <c r="H61" s="661">
        <f t="shared" si="53"/>
        <v>0</v>
      </c>
      <c r="I61" s="642">
        <v>15.2</v>
      </c>
      <c r="J61" s="642">
        <v>0.3</v>
      </c>
      <c r="K61" s="645">
        <v>0.1</v>
      </c>
      <c r="L61" s="628">
        <v>16.5</v>
      </c>
      <c r="M61" s="644">
        <v>0.5</v>
      </c>
      <c r="N61" s="116">
        <v>50</v>
      </c>
      <c r="O61" s="117">
        <v>171</v>
      </c>
      <c r="P61" s="117">
        <v>1.0999999999999999E-2</v>
      </c>
      <c r="Q61" s="117">
        <v>0.60299999999999998</v>
      </c>
      <c r="R61" s="117">
        <v>0</v>
      </c>
      <c r="S61" s="118">
        <v>0.1</v>
      </c>
      <c r="T61" s="601"/>
      <c r="U61" s="1151">
        <f t="shared" si="0"/>
        <v>5.2999999999999972</v>
      </c>
      <c r="V61" s="1151">
        <f t="shared" si="1"/>
        <v>150.25234999999992</v>
      </c>
      <c r="W61" s="108"/>
      <c r="X61" s="785">
        <f t="shared" si="38"/>
        <v>0</v>
      </c>
      <c r="Y61" s="786">
        <f t="shared" si="39"/>
        <v>0</v>
      </c>
      <c r="Z61" s="786">
        <f t="shared" si="40"/>
        <v>0</v>
      </c>
      <c r="AA61" s="786">
        <f t="shared" si="41"/>
        <v>0</v>
      </c>
      <c r="AB61" s="786">
        <f t="shared" si="42"/>
        <v>0</v>
      </c>
      <c r="AC61" s="787">
        <f t="shared" si="43"/>
        <v>0</v>
      </c>
      <c r="AD61" s="787">
        <f t="shared" si="44"/>
        <v>0</v>
      </c>
      <c r="AE61" s="787">
        <f t="shared" si="45"/>
        <v>0</v>
      </c>
      <c r="AF61" s="787">
        <f t="shared" si="46"/>
        <v>0</v>
      </c>
      <c r="AG61" s="787">
        <f t="shared" si="47"/>
        <v>0</v>
      </c>
      <c r="AH61" s="788">
        <f t="shared" si="48"/>
        <v>0</v>
      </c>
      <c r="AI61" s="1883"/>
      <c r="AJ61" s="787">
        <f t="shared" si="49"/>
        <v>0</v>
      </c>
      <c r="AK61" s="787">
        <f t="shared" si="50"/>
        <v>0</v>
      </c>
      <c r="AL61" s="792">
        <f t="shared" si="51"/>
        <v>0</v>
      </c>
      <c r="AM61" s="1138">
        <v>5</v>
      </c>
      <c r="AN61" s="769">
        <v>10</v>
      </c>
      <c r="AO61" s="769">
        <v>31</v>
      </c>
      <c r="AP61" s="769"/>
      <c r="AQ61" s="1249">
        <f t="shared" si="52"/>
        <v>18</v>
      </c>
      <c r="AR61" s="1250">
        <f t="shared" si="32"/>
        <v>15.353999999999999</v>
      </c>
      <c r="AS61" s="1250">
        <f t="shared" si="33"/>
        <v>16.074000000000002</v>
      </c>
      <c r="AT61" s="1250">
        <f t="shared" si="34"/>
        <v>11.754000000000001</v>
      </c>
    </row>
    <row r="62" spans="1:46" ht="14.25" customHeight="1">
      <c r="A62" s="601"/>
      <c r="B62" s="2225">
        <v>0.15</v>
      </c>
      <c r="C62" s="2439" t="s">
        <v>476</v>
      </c>
      <c r="D62" s="2440"/>
      <c r="E62" s="639"/>
      <c r="F62" s="640"/>
      <c r="G62" s="641">
        <f t="shared" si="26"/>
        <v>0</v>
      </c>
      <c r="H62" s="661">
        <f t="shared" si="53"/>
        <v>0</v>
      </c>
      <c r="I62" s="642">
        <v>5</v>
      </c>
      <c r="J62" s="642">
        <v>2</v>
      </c>
      <c r="K62" s="642">
        <v>0.2</v>
      </c>
      <c r="L62" s="628">
        <v>15</v>
      </c>
      <c r="M62" s="646">
        <v>0.6</v>
      </c>
      <c r="N62" s="117">
        <v>180</v>
      </c>
      <c r="O62" s="117">
        <v>266</v>
      </c>
      <c r="P62" s="117">
        <v>0.03</v>
      </c>
      <c r="Q62" s="117">
        <v>0.3</v>
      </c>
      <c r="R62" s="116">
        <v>0</v>
      </c>
      <c r="S62" s="118">
        <v>0</v>
      </c>
      <c r="T62" s="601"/>
      <c r="U62" s="1151">
        <f t="shared" si="0"/>
        <v>5.3999999999999968</v>
      </c>
      <c r="V62" s="1151">
        <f t="shared" si="1"/>
        <v>153.08729999999991</v>
      </c>
      <c r="W62" s="108"/>
      <c r="X62" s="785">
        <f t="shared" si="38"/>
        <v>0</v>
      </c>
      <c r="Y62" s="786">
        <f t="shared" si="39"/>
        <v>0</v>
      </c>
      <c r="Z62" s="786">
        <f t="shared" si="40"/>
        <v>0</v>
      </c>
      <c r="AA62" s="786">
        <f t="shared" si="41"/>
        <v>0</v>
      </c>
      <c r="AB62" s="786">
        <f t="shared" si="42"/>
        <v>0</v>
      </c>
      <c r="AC62" s="787">
        <f t="shared" si="43"/>
        <v>0</v>
      </c>
      <c r="AD62" s="787">
        <f t="shared" si="44"/>
        <v>0</v>
      </c>
      <c r="AE62" s="787">
        <f t="shared" si="45"/>
        <v>0</v>
      </c>
      <c r="AF62" s="787">
        <f t="shared" si="46"/>
        <v>0</v>
      </c>
      <c r="AG62" s="787">
        <f t="shared" si="47"/>
        <v>0</v>
      </c>
      <c r="AH62" s="788">
        <f t="shared" si="48"/>
        <v>0</v>
      </c>
      <c r="AI62" s="1883" t="s">
        <v>25</v>
      </c>
      <c r="AJ62" s="787">
        <f t="shared" si="49"/>
        <v>0</v>
      </c>
      <c r="AK62" s="787">
        <f t="shared" si="50"/>
        <v>0</v>
      </c>
      <c r="AL62" s="792">
        <f t="shared" si="51"/>
        <v>0</v>
      </c>
      <c r="AM62" s="1138">
        <v>1</v>
      </c>
      <c r="AN62" s="769">
        <v>10</v>
      </c>
      <c r="AO62" s="769">
        <v>21</v>
      </c>
      <c r="AP62" s="769"/>
      <c r="AQ62" s="1249">
        <f t="shared" si="52"/>
        <v>18.5</v>
      </c>
      <c r="AR62" s="1250">
        <f t="shared" si="32"/>
        <v>15.7805</v>
      </c>
      <c r="AS62" s="1250">
        <f t="shared" si="33"/>
        <v>16.520500000000002</v>
      </c>
      <c r="AT62" s="1250">
        <f t="shared" si="34"/>
        <v>12.080500000000001</v>
      </c>
    </row>
    <row r="63" spans="1:46" ht="14.25" customHeight="1">
      <c r="A63" s="601"/>
      <c r="B63" s="2225">
        <v>0.19</v>
      </c>
      <c r="C63" s="2439" t="s">
        <v>477</v>
      </c>
      <c r="D63" s="2440"/>
      <c r="E63" s="639"/>
      <c r="F63" s="640"/>
      <c r="G63" s="641">
        <f t="shared" si="26"/>
        <v>0</v>
      </c>
      <c r="H63" s="661">
        <f t="shared" si="53"/>
        <v>0</v>
      </c>
      <c r="I63" s="642">
        <v>11</v>
      </c>
      <c r="J63" s="642">
        <v>0.5</v>
      </c>
      <c r="K63" s="645">
        <v>0.1</v>
      </c>
      <c r="L63" s="628">
        <v>17</v>
      </c>
      <c r="M63" s="644">
        <v>0.5</v>
      </c>
      <c r="N63" s="116">
        <v>50</v>
      </c>
      <c r="O63" s="117">
        <v>155</v>
      </c>
      <c r="P63" s="117">
        <v>5.8000000000000003E-2</v>
      </c>
      <c r="Q63" s="117">
        <v>0.58399999999999996</v>
      </c>
      <c r="R63" s="117">
        <v>0.16</v>
      </c>
      <c r="S63" s="118">
        <v>0.13400000000000001</v>
      </c>
      <c r="T63" s="601"/>
      <c r="U63" s="1151">
        <f t="shared" si="0"/>
        <v>5.4999999999999964</v>
      </c>
      <c r="V63" s="1151">
        <f t="shared" si="1"/>
        <v>155.92224999999991</v>
      </c>
      <c r="W63" s="108"/>
      <c r="X63" s="785">
        <f t="shared" si="38"/>
        <v>0</v>
      </c>
      <c r="Y63" s="786">
        <f t="shared" si="39"/>
        <v>0</v>
      </c>
      <c r="Z63" s="786">
        <f t="shared" si="40"/>
        <v>0</v>
      </c>
      <c r="AA63" s="786">
        <f t="shared" si="41"/>
        <v>0</v>
      </c>
      <c r="AB63" s="786">
        <f t="shared" si="42"/>
        <v>0</v>
      </c>
      <c r="AC63" s="787">
        <f t="shared" si="43"/>
        <v>0</v>
      </c>
      <c r="AD63" s="787">
        <f t="shared" si="44"/>
        <v>0</v>
      </c>
      <c r="AE63" s="787">
        <f t="shared" si="45"/>
        <v>0</v>
      </c>
      <c r="AF63" s="787">
        <f t="shared" si="46"/>
        <v>0</v>
      </c>
      <c r="AG63" s="787">
        <f t="shared" si="47"/>
        <v>0</v>
      </c>
      <c r="AH63" s="788">
        <f t="shared" si="48"/>
        <v>0</v>
      </c>
      <c r="AI63" s="1883"/>
      <c r="AJ63" s="787">
        <f t="shared" si="49"/>
        <v>0</v>
      </c>
      <c r="AK63" s="787">
        <f t="shared" si="50"/>
        <v>0</v>
      </c>
      <c r="AL63" s="792">
        <f t="shared" si="51"/>
        <v>0</v>
      </c>
      <c r="AM63" s="1138">
        <v>10</v>
      </c>
      <c r="AN63" s="769">
        <v>9</v>
      </c>
      <c r="AO63" s="769">
        <v>11</v>
      </c>
      <c r="AP63" s="769"/>
      <c r="AQ63" s="1249">
        <f t="shared" si="52"/>
        <v>19</v>
      </c>
      <c r="AR63" s="1250">
        <f t="shared" si="32"/>
        <v>16.207000000000001</v>
      </c>
      <c r="AS63" s="1250">
        <f t="shared" si="33"/>
        <v>16.966999999999999</v>
      </c>
      <c r="AT63" s="1250">
        <f t="shared" si="34"/>
        <v>12.407</v>
      </c>
    </row>
    <row r="64" spans="1:46" ht="14.25" customHeight="1">
      <c r="A64" s="601"/>
      <c r="B64" s="2225">
        <v>0.25</v>
      </c>
      <c r="C64" s="2439" t="s">
        <v>478</v>
      </c>
      <c r="D64" s="2440"/>
      <c r="E64" s="639"/>
      <c r="F64" s="640"/>
      <c r="G64" s="641">
        <f t="shared" si="26"/>
        <v>0</v>
      </c>
      <c r="H64" s="661">
        <f t="shared" si="53"/>
        <v>0</v>
      </c>
      <c r="I64" s="642">
        <v>10</v>
      </c>
      <c r="J64" s="645">
        <v>1</v>
      </c>
      <c r="K64" s="645">
        <v>0.1</v>
      </c>
      <c r="L64" s="638">
        <v>11</v>
      </c>
      <c r="M64" s="644">
        <v>0.5</v>
      </c>
      <c r="N64" s="116">
        <v>50</v>
      </c>
      <c r="O64" s="116">
        <v>50</v>
      </c>
      <c r="P64" s="116">
        <v>0.03</v>
      </c>
      <c r="Q64" s="116">
        <v>0.3</v>
      </c>
      <c r="R64" s="116">
        <v>0.1</v>
      </c>
      <c r="S64" s="119">
        <v>0.08</v>
      </c>
      <c r="T64" s="601"/>
      <c r="U64" s="1151">
        <f t="shared" si="0"/>
        <v>5.5999999999999961</v>
      </c>
      <c r="V64" s="1151">
        <f t="shared" si="1"/>
        <v>158.7571999999999</v>
      </c>
      <c r="W64" s="108"/>
      <c r="X64" s="785">
        <f t="shared" si="38"/>
        <v>0</v>
      </c>
      <c r="Y64" s="786">
        <f t="shared" si="39"/>
        <v>0</v>
      </c>
      <c r="Z64" s="786">
        <f t="shared" si="40"/>
        <v>0</v>
      </c>
      <c r="AA64" s="786">
        <f t="shared" si="41"/>
        <v>0</v>
      </c>
      <c r="AB64" s="786">
        <f t="shared" si="42"/>
        <v>0</v>
      </c>
      <c r="AC64" s="787">
        <f t="shared" si="43"/>
        <v>0</v>
      </c>
      <c r="AD64" s="787">
        <f t="shared" si="44"/>
        <v>0</v>
      </c>
      <c r="AE64" s="787">
        <f t="shared" si="45"/>
        <v>0</v>
      </c>
      <c r="AF64" s="787">
        <f t="shared" si="46"/>
        <v>0</v>
      </c>
      <c r="AG64" s="787">
        <f t="shared" si="47"/>
        <v>0</v>
      </c>
      <c r="AH64" s="788">
        <f t="shared" si="48"/>
        <v>0</v>
      </c>
      <c r="AI64" s="1883"/>
      <c r="AJ64" s="787">
        <f t="shared" si="49"/>
        <v>0</v>
      </c>
      <c r="AK64" s="787">
        <f t="shared" si="50"/>
        <v>0</v>
      </c>
      <c r="AL64" s="792">
        <f t="shared" si="51"/>
        <v>0</v>
      </c>
      <c r="AM64" s="1884">
        <v>5</v>
      </c>
      <c r="AN64" s="1884">
        <v>10</v>
      </c>
      <c r="AO64" s="1884">
        <v>11</v>
      </c>
      <c r="AP64" s="769"/>
      <c r="AQ64" s="1249">
        <f t="shared" si="52"/>
        <v>19.5</v>
      </c>
      <c r="AR64" s="1250">
        <f t="shared" si="32"/>
        <v>16.633499999999998</v>
      </c>
      <c r="AS64" s="1250">
        <f t="shared" si="33"/>
        <v>17.413499999999999</v>
      </c>
      <c r="AT64" s="1250">
        <f t="shared" si="34"/>
        <v>12.733500000000001</v>
      </c>
    </row>
    <row r="65" spans="1:46" ht="14.25" customHeight="1">
      <c r="A65" s="601"/>
      <c r="B65" s="2225">
        <v>0.06</v>
      </c>
      <c r="C65" s="2439" t="s">
        <v>479</v>
      </c>
      <c r="D65" s="2440"/>
      <c r="E65" s="639"/>
      <c r="F65" s="640"/>
      <c r="G65" s="641">
        <f t="shared" si="26"/>
        <v>0</v>
      </c>
      <c r="H65" s="661">
        <f t="shared" si="53"/>
        <v>0</v>
      </c>
      <c r="I65" s="642">
        <v>6</v>
      </c>
      <c r="J65" s="642">
        <v>0.2</v>
      </c>
      <c r="K65" s="645">
        <v>0.1</v>
      </c>
      <c r="L65" s="628">
        <v>9</v>
      </c>
      <c r="M65" s="644">
        <v>0.5</v>
      </c>
      <c r="N65" s="117">
        <v>150</v>
      </c>
      <c r="O65" s="117">
        <v>230</v>
      </c>
      <c r="P65" s="117">
        <v>3.7999999999999999E-2</v>
      </c>
      <c r="Q65" s="117">
        <v>0.41799999999999998</v>
      </c>
      <c r="R65" s="117">
        <v>0.155</v>
      </c>
      <c r="S65" s="118">
        <v>8.7999999999999995E-2</v>
      </c>
      <c r="T65" s="601"/>
      <c r="U65" s="1151">
        <f t="shared" si="0"/>
        <v>5.6999999999999957</v>
      </c>
      <c r="V65" s="1151">
        <f t="shared" si="1"/>
        <v>161.59214999999986</v>
      </c>
      <c r="W65" s="108"/>
      <c r="X65" s="785">
        <f t="shared" si="38"/>
        <v>0</v>
      </c>
      <c r="Y65" s="786">
        <f t="shared" si="39"/>
        <v>0</v>
      </c>
      <c r="Z65" s="786">
        <f t="shared" si="40"/>
        <v>0</v>
      </c>
      <c r="AA65" s="786">
        <f t="shared" si="41"/>
        <v>0</v>
      </c>
      <c r="AB65" s="786">
        <f t="shared" si="42"/>
        <v>0</v>
      </c>
      <c r="AC65" s="787">
        <f t="shared" si="43"/>
        <v>0</v>
      </c>
      <c r="AD65" s="787">
        <f t="shared" si="44"/>
        <v>0</v>
      </c>
      <c r="AE65" s="787">
        <f t="shared" si="45"/>
        <v>0</v>
      </c>
      <c r="AF65" s="787">
        <f t="shared" si="46"/>
        <v>0</v>
      </c>
      <c r="AG65" s="787">
        <f t="shared" si="47"/>
        <v>0</v>
      </c>
      <c r="AH65" s="788">
        <f t="shared" si="48"/>
        <v>0</v>
      </c>
      <c r="AI65" s="1883"/>
      <c r="AJ65" s="787">
        <f t="shared" si="49"/>
        <v>0</v>
      </c>
      <c r="AK65" s="787">
        <f t="shared" si="50"/>
        <v>0</v>
      </c>
      <c r="AL65" s="792">
        <f t="shared" si="51"/>
        <v>0</v>
      </c>
      <c r="AM65" s="1138">
        <v>6</v>
      </c>
      <c r="AN65" s="769">
        <v>10</v>
      </c>
      <c r="AO65" s="769">
        <v>11</v>
      </c>
      <c r="AP65" s="769"/>
      <c r="AQ65" s="2111">
        <v>11.23</v>
      </c>
      <c r="AR65" s="1250">
        <f t="shared" si="32"/>
        <v>9.5791900000000005</v>
      </c>
      <c r="AS65" s="1250">
        <f t="shared" si="33"/>
        <v>10.02839</v>
      </c>
      <c r="AT65" s="1250">
        <f t="shared" si="34"/>
        <v>7.333190000000001</v>
      </c>
    </row>
    <row r="66" spans="1:46" ht="14.25" customHeight="1">
      <c r="A66" s="601"/>
      <c r="B66" s="2225">
        <v>0.15</v>
      </c>
      <c r="C66" s="2439" t="s">
        <v>480</v>
      </c>
      <c r="D66" s="2440"/>
      <c r="E66" s="639"/>
      <c r="F66" s="640"/>
      <c r="G66" s="641">
        <f t="shared" si="26"/>
        <v>0</v>
      </c>
      <c r="H66" s="661">
        <f t="shared" si="53"/>
        <v>0</v>
      </c>
      <c r="I66" s="642">
        <v>8</v>
      </c>
      <c r="J66" s="642">
        <v>0.45</v>
      </c>
      <c r="K66" s="645">
        <v>0.1</v>
      </c>
      <c r="L66" s="628">
        <v>10</v>
      </c>
      <c r="M66" s="646">
        <v>0.7</v>
      </c>
      <c r="N66" s="117">
        <v>210</v>
      </c>
      <c r="O66" s="117">
        <v>194</v>
      </c>
      <c r="P66" s="117">
        <v>0.03</v>
      </c>
      <c r="Q66" s="117">
        <v>0.62</v>
      </c>
      <c r="R66" s="116">
        <v>0</v>
      </c>
      <c r="S66" s="119">
        <v>0.05</v>
      </c>
      <c r="T66" s="601"/>
      <c r="U66" s="1151">
        <f t="shared" si="0"/>
        <v>5.7999999999999954</v>
      </c>
      <c r="V66" s="1151">
        <f t="shared" si="1"/>
        <v>164.42709999999985</v>
      </c>
      <c r="W66" s="108"/>
      <c r="X66" s="785">
        <f t="shared" si="38"/>
        <v>0</v>
      </c>
      <c r="Y66" s="786">
        <f t="shared" si="39"/>
        <v>0</v>
      </c>
      <c r="Z66" s="786">
        <f t="shared" si="40"/>
        <v>0</v>
      </c>
      <c r="AA66" s="786">
        <f t="shared" si="41"/>
        <v>0</v>
      </c>
      <c r="AB66" s="786">
        <f t="shared" si="42"/>
        <v>0</v>
      </c>
      <c r="AC66" s="787">
        <f t="shared" si="43"/>
        <v>0</v>
      </c>
      <c r="AD66" s="787">
        <f t="shared" si="44"/>
        <v>0</v>
      </c>
      <c r="AE66" s="787">
        <f t="shared" si="45"/>
        <v>0</v>
      </c>
      <c r="AF66" s="787">
        <f t="shared" si="46"/>
        <v>0</v>
      </c>
      <c r="AG66" s="787">
        <f t="shared" si="47"/>
        <v>0</v>
      </c>
      <c r="AH66" s="788">
        <f t="shared" si="48"/>
        <v>0</v>
      </c>
      <c r="AI66" s="1883" t="s">
        <v>464</v>
      </c>
      <c r="AJ66" s="787">
        <f t="shared" si="49"/>
        <v>0</v>
      </c>
      <c r="AK66" s="787">
        <f t="shared" si="50"/>
        <v>0</v>
      </c>
      <c r="AL66" s="792">
        <f t="shared" si="51"/>
        <v>0</v>
      </c>
      <c r="AM66" s="1138">
        <v>39</v>
      </c>
      <c r="AN66" s="769">
        <v>18</v>
      </c>
      <c r="AO66" s="769">
        <v>38</v>
      </c>
      <c r="AP66" s="769"/>
      <c r="AQ66" s="1251"/>
      <c r="AR66" s="1249"/>
      <c r="AS66" s="1249"/>
      <c r="AT66" s="1249"/>
    </row>
    <row r="67" spans="1:46" ht="14.25" customHeight="1">
      <c r="A67" s="601"/>
      <c r="B67" s="2225">
        <v>0.13</v>
      </c>
      <c r="C67" s="2439" t="s">
        <v>481</v>
      </c>
      <c r="D67" s="2440"/>
      <c r="E67" s="639"/>
      <c r="F67" s="640"/>
      <c r="G67" s="641">
        <f t="shared" si="26"/>
        <v>0</v>
      </c>
      <c r="H67" s="661">
        <f t="shared" si="53"/>
        <v>0</v>
      </c>
      <c r="I67" s="642">
        <v>8</v>
      </c>
      <c r="J67" s="642">
        <v>0.7</v>
      </c>
      <c r="K67" s="645">
        <v>0.1</v>
      </c>
      <c r="L67" s="628">
        <v>11</v>
      </c>
      <c r="M67" s="644">
        <v>0.3</v>
      </c>
      <c r="N67" s="117">
        <v>150</v>
      </c>
      <c r="O67" s="117">
        <v>200</v>
      </c>
      <c r="P67" s="117">
        <v>3.4000000000000002E-2</v>
      </c>
      <c r="Q67" s="117">
        <v>1.125</v>
      </c>
      <c r="R67" s="117">
        <v>0.185</v>
      </c>
      <c r="S67" s="118">
        <v>2.5000000000000001E-2</v>
      </c>
      <c r="T67" s="601"/>
      <c r="U67" s="1151">
        <f t="shared" si="0"/>
        <v>5.899999999999995</v>
      </c>
      <c r="V67" s="1151">
        <f t="shared" si="1"/>
        <v>167.26204999999985</v>
      </c>
      <c r="W67" s="108"/>
      <c r="X67" s="785">
        <f t="shared" si="38"/>
        <v>0</v>
      </c>
      <c r="Y67" s="786">
        <f t="shared" si="39"/>
        <v>0</v>
      </c>
      <c r="Z67" s="786">
        <f t="shared" si="40"/>
        <v>0</v>
      </c>
      <c r="AA67" s="786">
        <f t="shared" si="41"/>
        <v>0</v>
      </c>
      <c r="AB67" s="786">
        <f t="shared" si="42"/>
        <v>0</v>
      </c>
      <c r="AC67" s="787">
        <f t="shared" si="43"/>
        <v>0</v>
      </c>
      <c r="AD67" s="787">
        <f t="shared" si="44"/>
        <v>0</v>
      </c>
      <c r="AE67" s="787">
        <f t="shared" si="45"/>
        <v>0</v>
      </c>
      <c r="AF67" s="787">
        <f t="shared" si="46"/>
        <v>0</v>
      </c>
      <c r="AG67" s="787">
        <f t="shared" si="47"/>
        <v>0</v>
      </c>
      <c r="AH67" s="788">
        <f t="shared" si="48"/>
        <v>0</v>
      </c>
      <c r="AI67" s="1883" t="s">
        <v>436</v>
      </c>
      <c r="AJ67" s="787">
        <f t="shared" si="49"/>
        <v>0</v>
      </c>
      <c r="AK67" s="787">
        <f t="shared" si="50"/>
        <v>0</v>
      </c>
      <c r="AL67" s="792">
        <f t="shared" si="51"/>
        <v>0</v>
      </c>
      <c r="AM67" s="1138">
        <v>6</v>
      </c>
      <c r="AN67" s="769">
        <v>9</v>
      </c>
      <c r="AO67" s="769">
        <v>26</v>
      </c>
      <c r="AP67" s="769"/>
      <c r="AQ67" s="1251"/>
      <c r="AR67" s="1249"/>
      <c r="AS67" s="1249"/>
      <c r="AT67" s="1249"/>
    </row>
    <row r="68" spans="1:46" ht="14.25" customHeight="1">
      <c r="A68" s="601"/>
      <c r="B68" s="2225">
        <v>0.13</v>
      </c>
      <c r="C68" s="2439" t="s">
        <v>482</v>
      </c>
      <c r="D68" s="2440" t="s">
        <v>444</v>
      </c>
      <c r="E68" s="639"/>
      <c r="F68" s="640"/>
      <c r="G68" s="641">
        <f t="shared" si="26"/>
        <v>0</v>
      </c>
      <c r="H68" s="661">
        <f t="shared" si="53"/>
        <v>0</v>
      </c>
      <c r="I68" s="642">
        <v>9.5</v>
      </c>
      <c r="J68" s="642">
        <v>0.95</v>
      </c>
      <c r="K68" s="645">
        <v>0.1</v>
      </c>
      <c r="L68" s="628">
        <v>11.5</v>
      </c>
      <c r="M68" s="646">
        <v>0.9</v>
      </c>
      <c r="N68" s="116">
        <v>140</v>
      </c>
      <c r="O68" s="117">
        <v>190</v>
      </c>
      <c r="P68" s="117">
        <v>8.6999999999999994E-2</v>
      </c>
      <c r="Q68" s="117">
        <v>0.04</v>
      </c>
      <c r="R68" s="117">
        <v>0.25</v>
      </c>
      <c r="S68" s="118">
        <v>0.06</v>
      </c>
      <c r="T68" s="601"/>
      <c r="U68" s="1151">
        <f t="shared" si="0"/>
        <v>5.9999999999999947</v>
      </c>
      <c r="V68" s="1151">
        <f t="shared" si="1"/>
        <v>170.09699999999984</v>
      </c>
      <c r="W68" s="108"/>
      <c r="X68" s="785">
        <f t="shared" si="38"/>
        <v>0</v>
      </c>
      <c r="Y68" s="786">
        <f t="shared" si="39"/>
        <v>0</v>
      </c>
      <c r="Z68" s="786">
        <f t="shared" si="40"/>
        <v>0</v>
      </c>
      <c r="AA68" s="786">
        <f t="shared" si="41"/>
        <v>0</v>
      </c>
      <c r="AB68" s="786">
        <f t="shared" si="42"/>
        <v>0</v>
      </c>
      <c r="AC68" s="787">
        <f t="shared" si="43"/>
        <v>0</v>
      </c>
      <c r="AD68" s="787">
        <f t="shared" si="44"/>
        <v>0</v>
      </c>
      <c r="AE68" s="787">
        <f t="shared" si="45"/>
        <v>0</v>
      </c>
      <c r="AF68" s="787">
        <f t="shared" si="46"/>
        <v>0</v>
      </c>
      <c r="AG68" s="787">
        <f t="shared" si="47"/>
        <v>0</v>
      </c>
      <c r="AH68" s="788">
        <f t="shared" si="48"/>
        <v>0</v>
      </c>
      <c r="AI68" s="1883" t="s">
        <v>25</v>
      </c>
      <c r="AJ68" s="787">
        <f t="shared" si="49"/>
        <v>0</v>
      </c>
      <c r="AK68" s="787">
        <f t="shared" si="50"/>
        <v>0</v>
      </c>
      <c r="AL68" s="792">
        <f t="shared" si="51"/>
        <v>0</v>
      </c>
      <c r="AM68" s="1138">
        <v>70</v>
      </c>
      <c r="AN68" s="769">
        <v>14</v>
      </c>
      <c r="AO68" s="769">
        <v>22</v>
      </c>
      <c r="AP68" s="769"/>
      <c r="AQ68" s="1251"/>
      <c r="AR68" s="1249"/>
      <c r="AS68" s="1249"/>
      <c r="AT68" s="1249"/>
    </row>
    <row r="69" spans="1:46" ht="14.25" customHeight="1">
      <c r="A69" s="601"/>
      <c r="B69" s="2225">
        <v>0</v>
      </c>
      <c r="C69" s="2439"/>
      <c r="D69" s="2440" t="s">
        <v>459</v>
      </c>
      <c r="E69" s="639"/>
      <c r="F69" s="640"/>
      <c r="G69" s="641">
        <f t="shared" si="26"/>
        <v>0</v>
      </c>
      <c r="H69" s="661">
        <f t="shared" si="53"/>
        <v>0</v>
      </c>
      <c r="I69" s="642">
        <v>9.9</v>
      </c>
      <c r="J69" s="642">
        <v>1.05</v>
      </c>
      <c r="K69" s="645">
        <v>0.01</v>
      </c>
      <c r="L69" s="628">
        <v>10.4</v>
      </c>
      <c r="M69" s="646">
        <v>0.2</v>
      </c>
      <c r="N69" s="117">
        <v>100</v>
      </c>
      <c r="O69" s="117">
        <v>200</v>
      </c>
      <c r="P69" s="117">
        <v>0.12</v>
      </c>
      <c r="Q69" s="117">
        <v>0.9</v>
      </c>
      <c r="R69" s="117">
        <v>0.49</v>
      </c>
      <c r="S69" s="118">
        <v>0.17599999999999999</v>
      </c>
      <c r="T69" s="601"/>
      <c r="U69" s="1151">
        <f t="shared" si="0"/>
        <v>6.0999999999999943</v>
      </c>
      <c r="V69" s="1151">
        <f t="shared" si="1"/>
        <v>172.93194999999983</v>
      </c>
      <c r="W69" s="108"/>
      <c r="X69" s="785">
        <f t="shared" si="38"/>
        <v>0</v>
      </c>
      <c r="Y69" s="786">
        <f t="shared" si="39"/>
        <v>0</v>
      </c>
      <c r="Z69" s="786">
        <f t="shared" si="40"/>
        <v>0</v>
      </c>
      <c r="AA69" s="786">
        <f t="shared" si="41"/>
        <v>0</v>
      </c>
      <c r="AB69" s="786">
        <f t="shared" si="42"/>
        <v>0</v>
      </c>
      <c r="AC69" s="787">
        <f t="shared" si="43"/>
        <v>0</v>
      </c>
      <c r="AD69" s="787">
        <f t="shared" si="44"/>
        <v>0</v>
      </c>
      <c r="AE69" s="787">
        <f t="shared" si="45"/>
        <v>0</v>
      </c>
      <c r="AF69" s="787">
        <f t="shared" si="46"/>
        <v>0</v>
      </c>
      <c r="AG69" s="787">
        <f t="shared" si="47"/>
        <v>0</v>
      </c>
      <c r="AH69" s="788">
        <f t="shared" si="48"/>
        <v>0</v>
      </c>
      <c r="AI69" s="1883" t="s">
        <v>25</v>
      </c>
      <c r="AJ69" s="787">
        <f t="shared" si="49"/>
        <v>0</v>
      </c>
      <c r="AK69" s="787">
        <f t="shared" si="50"/>
        <v>0</v>
      </c>
      <c r="AL69" s="792">
        <f t="shared" si="51"/>
        <v>0</v>
      </c>
      <c r="AM69" s="1138">
        <v>11</v>
      </c>
      <c r="AN69" s="769">
        <v>11</v>
      </c>
      <c r="AO69" s="769">
        <v>17</v>
      </c>
      <c r="AP69" s="769"/>
      <c r="AQ69" s="1251"/>
      <c r="AR69" s="1249"/>
      <c r="AS69" s="1249"/>
      <c r="AT69" s="1249"/>
    </row>
    <row r="70" spans="1:46" ht="14.25" customHeight="1">
      <c r="A70" s="601"/>
      <c r="B70" s="2225">
        <v>0.14000000000000001</v>
      </c>
      <c r="C70" s="2439" t="s">
        <v>483</v>
      </c>
      <c r="D70" s="2440"/>
      <c r="E70" s="639"/>
      <c r="F70" s="640"/>
      <c r="G70" s="641">
        <f t="shared" si="26"/>
        <v>0</v>
      </c>
      <c r="H70" s="661">
        <f t="shared" si="53"/>
        <v>0</v>
      </c>
      <c r="I70" s="642">
        <v>8</v>
      </c>
      <c r="J70" s="642">
        <v>0.1</v>
      </c>
      <c r="K70" s="645">
        <v>0.1</v>
      </c>
      <c r="L70" s="628">
        <v>10</v>
      </c>
      <c r="M70" s="644">
        <v>0.5</v>
      </c>
      <c r="N70" s="116">
        <v>50</v>
      </c>
      <c r="O70" s="117">
        <v>255</v>
      </c>
      <c r="P70" s="117">
        <v>2.7E-2</v>
      </c>
      <c r="Q70" s="117">
        <v>0.33800000000000002</v>
      </c>
      <c r="R70" s="117">
        <v>0.218</v>
      </c>
      <c r="S70" s="118">
        <v>1.9E-2</v>
      </c>
      <c r="T70" s="601"/>
      <c r="U70" s="1151">
        <f t="shared" si="0"/>
        <v>6.199999999999994</v>
      </c>
      <c r="V70" s="1151">
        <f t="shared" si="1"/>
        <v>175.76689999999982</v>
      </c>
      <c r="W70" s="108"/>
      <c r="X70" s="785">
        <f t="shared" si="38"/>
        <v>0</v>
      </c>
      <c r="Y70" s="786">
        <f t="shared" si="39"/>
        <v>0</v>
      </c>
      <c r="Z70" s="786">
        <f t="shared" si="40"/>
        <v>0</v>
      </c>
      <c r="AA70" s="786">
        <f t="shared" si="41"/>
        <v>0</v>
      </c>
      <c r="AB70" s="786">
        <f t="shared" si="42"/>
        <v>0</v>
      </c>
      <c r="AC70" s="787">
        <f t="shared" si="43"/>
        <v>0</v>
      </c>
      <c r="AD70" s="787">
        <f t="shared" si="44"/>
        <v>0</v>
      </c>
      <c r="AE70" s="787">
        <f t="shared" si="45"/>
        <v>0</v>
      </c>
      <c r="AF70" s="787">
        <f t="shared" si="46"/>
        <v>0</v>
      </c>
      <c r="AG70" s="787">
        <f t="shared" si="47"/>
        <v>0</v>
      </c>
      <c r="AH70" s="788">
        <f t="shared" si="48"/>
        <v>0</v>
      </c>
      <c r="AI70" s="1883"/>
      <c r="AJ70" s="787">
        <f t="shared" si="49"/>
        <v>0</v>
      </c>
      <c r="AK70" s="787">
        <f t="shared" si="50"/>
        <v>0</v>
      </c>
      <c r="AL70" s="792">
        <f t="shared" si="51"/>
        <v>0</v>
      </c>
      <c r="AM70" s="1138">
        <v>24</v>
      </c>
      <c r="AN70" s="769">
        <v>10</v>
      </c>
      <c r="AO70" s="769">
        <v>5</v>
      </c>
      <c r="AP70" s="769"/>
      <c r="AQ70" s="1251"/>
      <c r="AR70" s="1249"/>
      <c r="AS70" s="1249"/>
      <c r="AT70" s="1249"/>
    </row>
    <row r="71" spans="1:46" ht="14.25" customHeight="1">
      <c r="A71" s="601"/>
      <c r="B71" s="2225">
        <v>0.28000000000000003</v>
      </c>
      <c r="C71" s="2439" t="s">
        <v>484</v>
      </c>
      <c r="D71" s="2440"/>
      <c r="E71" s="639"/>
      <c r="F71" s="640"/>
      <c r="G71" s="641">
        <f t="shared" si="26"/>
        <v>0</v>
      </c>
      <c r="H71" s="661">
        <f t="shared" si="53"/>
        <v>0</v>
      </c>
      <c r="I71" s="642">
        <v>6</v>
      </c>
      <c r="J71" s="642">
        <v>3</v>
      </c>
      <c r="K71" s="645">
        <v>0.1</v>
      </c>
      <c r="L71" s="638">
        <v>10</v>
      </c>
      <c r="M71" s="644">
        <v>0.5</v>
      </c>
      <c r="N71" s="117">
        <v>440</v>
      </c>
      <c r="O71" s="117">
        <v>350</v>
      </c>
      <c r="P71" s="117">
        <v>0</v>
      </c>
      <c r="Q71" s="117">
        <v>1.5</v>
      </c>
      <c r="R71" s="117">
        <v>0</v>
      </c>
      <c r="S71" s="118">
        <v>0.1</v>
      </c>
      <c r="T71" s="601"/>
      <c r="U71" s="1151">
        <f t="shared" si="0"/>
        <v>6.2999999999999936</v>
      </c>
      <c r="V71" s="1151">
        <f t="shared" si="1"/>
        <v>178.60184999999981</v>
      </c>
      <c r="W71" s="108"/>
      <c r="X71" s="785">
        <f t="shared" si="38"/>
        <v>0</v>
      </c>
      <c r="Y71" s="786">
        <f t="shared" si="39"/>
        <v>0</v>
      </c>
      <c r="Z71" s="786">
        <f t="shared" si="40"/>
        <v>0</v>
      </c>
      <c r="AA71" s="786">
        <f t="shared" si="41"/>
        <v>0</v>
      </c>
      <c r="AB71" s="786">
        <f t="shared" si="42"/>
        <v>0</v>
      </c>
      <c r="AC71" s="787">
        <f t="shared" si="43"/>
        <v>0</v>
      </c>
      <c r="AD71" s="787">
        <f t="shared" si="44"/>
        <v>0</v>
      </c>
      <c r="AE71" s="787">
        <f t="shared" si="45"/>
        <v>0</v>
      </c>
      <c r="AF71" s="787">
        <f t="shared" si="46"/>
        <v>0</v>
      </c>
      <c r="AG71" s="787">
        <f t="shared" si="47"/>
        <v>0</v>
      </c>
      <c r="AH71" s="788">
        <f t="shared" si="48"/>
        <v>0</v>
      </c>
      <c r="AI71" s="1883"/>
      <c r="AJ71" s="787">
        <f t="shared" si="49"/>
        <v>0</v>
      </c>
      <c r="AK71" s="787">
        <f t="shared" si="50"/>
        <v>0</v>
      </c>
      <c r="AL71" s="792">
        <f t="shared" si="51"/>
        <v>0</v>
      </c>
      <c r="AM71" s="1138">
        <v>12</v>
      </c>
      <c r="AN71" s="769">
        <v>29</v>
      </c>
      <c r="AO71" s="769">
        <v>68</v>
      </c>
      <c r="AP71" s="769"/>
      <c r="AQ71" s="1251"/>
      <c r="AR71" s="1249"/>
      <c r="AS71" s="1249"/>
      <c r="AT71" s="1249"/>
    </row>
    <row r="72" spans="1:46" ht="14.25" customHeight="1">
      <c r="A72" s="601"/>
      <c r="B72" s="2225">
        <v>0.12</v>
      </c>
      <c r="C72" s="2439" t="s">
        <v>485</v>
      </c>
      <c r="D72" s="2440" t="s">
        <v>444</v>
      </c>
      <c r="E72" s="639"/>
      <c r="F72" s="640"/>
      <c r="G72" s="641">
        <f t="shared" si="26"/>
        <v>0</v>
      </c>
      <c r="H72" s="661">
        <f t="shared" si="53"/>
        <v>0</v>
      </c>
      <c r="I72" s="642">
        <v>8.5</v>
      </c>
      <c r="J72" s="642">
        <v>0.65</v>
      </c>
      <c r="K72" s="642">
        <v>0.1</v>
      </c>
      <c r="L72" s="628">
        <v>14</v>
      </c>
      <c r="M72" s="646">
        <v>0.4</v>
      </c>
      <c r="N72" s="117">
        <v>100</v>
      </c>
      <c r="O72" s="117">
        <v>190</v>
      </c>
      <c r="P72" s="117">
        <v>2.4E-2</v>
      </c>
      <c r="Q72" s="117">
        <v>0.80600000000000005</v>
      </c>
      <c r="R72" s="117">
        <v>0.153</v>
      </c>
      <c r="S72" s="118">
        <v>2.5000000000000001E-2</v>
      </c>
      <c r="T72" s="601"/>
      <c r="U72" s="1151">
        <f t="shared" si="0"/>
        <v>6.3999999999999932</v>
      </c>
      <c r="V72" s="1151">
        <f t="shared" si="1"/>
        <v>181.43679999999981</v>
      </c>
      <c r="W72" s="108"/>
      <c r="X72" s="785">
        <f t="shared" si="38"/>
        <v>0</v>
      </c>
      <c r="Y72" s="786">
        <f t="shared" si="39"/>
        <v>0</v>
      </c>
      <c r="Z72" s="786">
        <f t="shared" si="40"/>
        <v>0</v>
      </c>
      <c r="AA72" s="786">
        <f t="shared" si="41"/>
        <v>0</v>
      </c>
      <c r="AB72" s="786">
        <f t="shared" si="42"/>
        <v>0</v>
      </c>
      <c r="AC72" s="787">
        <f t="shared" si="43"/>
        <v>0</v>
      </c>
      <c r="AD72" s="787">
        <f t="shared" si="44"/>
        <v>0</v>
      </c>
      <c r="AE72" s="787">
        <f t="shared" si="45"/>
        <v>0</v>
      </c>
      <c r="AF72" s="787">
        <f t="shared" si="46"/>
        <v>0</v>
      </c>
      <c r="AG72" s="787">
        <f t="shared" si="47"/>
        <v>0</v>
      </c>
      <c r="AH72" s="788">
        <f t="shared" si="48"/>
        <v>0</v>
      </c>
      <c r="AI72" s="1883" t="s">
        <v>436</v>
      </c>
      <c r="AJ72" s="787">
        <f t="shared" si="49"/>
        <v>0</v>
      </c>
      <c r="AK72" s="787">
        <f t="shared" si="50"/>
        <v>0</v>
      </c>
      <c r="AL72" s="792">
        <f t="shared" si="51"/>
        <v>0</v>
      </c>
      <c r="AM72" s="1138">
        <v>6</v>
      </c>
      <c r="AN72" s="769">
        <v>9</v>
      </c>
      <c r="AO72" s="769">
        <v>20</v>
      </c>
      <c r="AP72" s="769"/>
      <c r="AQ72" s="1251"/>
      <c r="AR72" s="1249"/>
      <c r="AS72" s="1249"/>
      <c r="AT72" s="1249"/>
    </row>
    <row r="73" spans="1:46" ht="14.25" customHeight="1">
      <c r="A73" s="601"/>
      <c r="B73" s="2225">
        <v>0.92</v>
      </c>
      <c r="C73" s="2439"/>
      <c r="D73" s="2440" t="s">
        <v>445</v>
      </c>
      <c r="E73" s="639"/>
      <c r="F73" s="640"/>
      <c r="G73" s="641">
        <f t="shared" si="26"/>
        <v>0</v>
      </c>
      <c r="H73" s="661">
        <f t="shared" si="53"/>
        <v>0</v>
      </c>
      <c r="I73" s="642">
        <v>52</v>
      </c>
      <c r="J73" s="642">
        <v>1</v>
      </c>
      <c r="K73" s="645">
        <v>0.5</v>
      </c>
      <c r="L73" s="628">
        <v>61</v>
      </c>
      <c r="M73" s="644">
        <v>2.4</v>
      </c>
      <c r="N73" s="116">
        <v>50</v>
      </c>
      <c r="O73" s="117">
        <v>995</v>
      </c>
      <c r="P73" s="117">
        <v>2E-3</v>
      </c>
      <c r="Q73" s="117">
        <v>4.375</v>
      </c>
      <c r="R73" s="117">
        <v>0.56399999999999995</v>
      </c>
      <c r="S73" s="118">
        <v>6.7000000000000004E-2</v>
      </c>
      <c r="T73" s="601"/>
      <c r="U73" s="1151">
        <f t="shared" ref="U73:U136" si="54">U72+0.1</f>
        <v>6.4999999999999929</v>
      </c>
      <c r="V73" s="1151">
        <f t="shared" si="1"/>
        <v>184.2717499999998</v>
      </c>
      <c r="W73" s="108"/>
      <c r="X73" s="785">
        <f t="shared" si="38"/>
        <v>0</v>
      </c>
      <c r="Y73" s="786">
        <f t="shared" si="39"/>
        <v>0</v>
      </c>
      <c r="Z73" s="786">
        <f t="shared" si="40"/>
        <v>0</v>
      </c>
      <c r="AA73" s="786">
        <f t="shared" si="41"/>
        <v>0</v>
      </c>
      <c r="AB73" s="786">
        <f t="shared" si="42"/>
        <v>0</v>
      </c>
      <c r="AC73" s="787">
        <f t="shared" si="43"/>
        <v>0</v>
      </c>
      <c r="AD73" s="787">
        <f t="shared" si="44"/>
        <v>0</v>
      </c>
      <c r="AE73" s="787">
        <f t="shared" si="45"/>
        <v>0</v>
      </c>
      <c r="AF73" s="787">
        <f t="shared" si="46"/>
        <v>0</v>
      </c>
      <c r="AG73" s="787">
        <f t="shared" si="47"/>
        <v>0</v>
      </c>
      <c r="AH73" s="788">
        <f t="shared" si="48"/>
        <v>0</v>
      </c>
      <c r="AI73" s="1883" t="s">
        <v>436</v>
      </c>
      <c r="AJ73" s="787">
        <f t="shared" si="49"/>
        <v>0</v>
      </c>
      <c r="AK73" s="787">
        <f t="shared" si="50"/>
        <v>0</v>
      </c>
      <c r="AL73" s="792">
        <f t="shared" si="51"/>
        <v>0</v>
      </c>
      <c r="AM73" s="1138">
        <v>28</v>
      </c>
      <c r="AN73" s="769">
        <v>42</v>
      </c>
      <c r="AO73" s="769">
        <v>119</v>
      </c>
      <c r="AP73" s="769"/>
      <c r="AQ73" s="1251"/>
      <c r="AR73" s="1249"/>
      <c r="AS73" s="1249"/>
      <c r="AT73" s="1249"/>
    </row>
    <row r="74" spans="1:46" ht="14.25" customHeight="1">
      <c r="A74" s="601"/>
      <c r="B74" s="2225">
        <v>0.15</v>
      </c>
      <c r="C74" s="2439" t="s">
        <v>486</v>
      </c>
      <c r="D74" s="2440"/>
      <c r="E74" s="639"/>
      <c r="F74" s="640"/>
      <c r="G74" s="641">
        <f t="shared" si="26"/>
        <v>0</v>
      </c>
      <c r="H74" s="661">
        <f t="shared" si="53"/>
        <v>0</v>
      </c>
      <c r="I74" s="642">
        <v>10</v>
      </c>
      <c r="J74" s="642">
        <v>0.3</v>
      </c>
      <c r="K74" s="642">
        <v>0.1</v>
      </c>
      <c r="L74" s="628">
        <v>15</v>
      </c>
      <c r="M74" s="646">
        <v>0.9</v>
      </c>
      <c r="N74" s="117">
        <v>40</v>
      </c>
      <c r="O74" s="117">
        <v>119</v>
      </c>
      <c r="P74" s="117">
        <v>1.2E-2</v>
      </c>
      <c r="Q74" s="117">
        <v>0.157</v>
      </c>
      <c r="R74" s="117">
        <v>4.8000000000000001E-2</v>
      </c>
      <c r="S74" s="118">
        <v>2.8000000000000001E-2</v>
      </c>
      <c r="T74" s="601"/>
      <c r="U74" s="1151">
        <f t="shared" si="54"/>
        <v>6.5999999999999925</v>
      </c>
      <c r="V74" s="1151">
        <f t="shared" si="1"/>
        <v>187.10669999999979</v>
      </c>
      <c r="W74" s="108"/>
      <c r="X74" s="785">
        <f t="shared" si="38"/>
        <v>0</v>
      </c>
      <c r="Y74" s="786">
        <f t="shared" si="39"/>
        <v>0</v>
      </c>
      <c r="Z74" s="786">
        <f t="shared" si="40"/>
        <v>0</v>
      </c>
      <c r="AA74" s="786">
        <f t="shared" si="41"/>
        <v>0</v>
      </c>
      <c r="AB74" s="786">
        <f t="shared" si="42"/>
        <v>0</v>
      </c>
      <c r="AC74" s="787">
        <f t="shared" si="43"/>
        <v>0</v>
      </c>
      <c r="AD74" s="787">
        <f t="shared" si="44"/>
        <v>0</v>
      </c>
      <c r="AE74" s="787">
        <f t="shared" si="45"/>
        <v>0</v>
      </c>
      <c r="AF74" s="787">
        <f t="shared" si="46"/>
        <v>0</v>
      </c>
      <c r="AG74" s="787">
        <f t="shared" si="47"/>
        <v>0</v>
      </c>
      <c r="AH74" s="788">
        <f t="shared" si="48"/>
        <v>0</v>
      </c>
      <c r="AI74" s="1883" t="s">
        <v>436</v>
      </c>
      <c r="AJ74" s="787">
        <f t="shared" si="49"/>
        <v>0</v>
      </c>
      <c r="AK74" s="787">
        <f t="shared" si="50"/>
        <v>0</v>
      </c>
      <c r="AL74" s="792">
        <f t="shared" si="51"/>
        <v>0</v>
      </c>
      <c r="AM74" s="1138">
        <v>9</v>
      </c>
      <c r="AN74" s="769">
        <v>7</v>
      </c>
      <c r="AO74" s="769">
        <v>11</v>
      </c>
      <c r="AP74" s="769"/>
      <c r="AQ74" s="1251"/>
      <c r="AR74" s="1249"/>
      <c r="AS74" s="1249"/>
      <c r="AT74" s="1249"/>
    </row>
    <row r="75" spans="1:46" ht="14.25" customHeight="1">
      <c r="A75" s="601"/>
      <c r="B75" s="2225">
        <v>0.25</v>
      </c>
      <c r="C75" s="2439" t="s">
        <v>1165</v>
      </c>
      <c r="D75" s="2440"/>
      <c r="E75" s="639"/>
      <c r="F75" s="640"/>
      <c r="G75" s="641">
        <f t="shared" si="26"/>
        <v>0</v>
      </c>
      <c r="H75" s="661">
        <f t="shared" si="53"/>
        <v>0</v>
      </c>
      <c r="I75" s="642">
        <v>14</v>
      </c>
      <c r="J75" s="642">
        <v>0.2</v>
      </c>
      <c r="K75" s="645">
        <v>0.1</v>
      </c>
      <c r="L75" s="628">
        <v>19</v>
      </c>
      <c r="M75" s="644">
        <v>0.5</v>
      </c>
      <c r="N75" s="116">
        <v>50</v>
      </c>
      <c r="O75" s="117">
        <v>160</v>
      </c>
      <c r="P75" s="117">
        <v>0.03</v>
      </c>
      <c r="Q75" s="117">
        <v>0.1</v>
      </c>
      <c r="R75" s="117">
        <v>0</v>
      </c>
      <c r="S75" s="118">
        <v>0.1</v>
      </c>
      <c r="T75" s="601"/>
      <c r="U75" s="1151">
        <f t="shared" si="54"/>
        <v>6.6999999999999922</v>
      </c>
      <c r="V75" s="1151">
        <f t="shared" si="1"/>
        <v>189.94164999999978</v>
      </c>
      <c r="W75" s="108"/>
      <c r="X75" s="785">
        <f t="shared" si="38"/>
        <v>0</v>
      </c>
      <c r="Y75" s="786">
        <f t="shared" si="39"/>
        <v>0</v>
      </c>
      <c r="Z75" s="786">
        <f t="shared" si="40"/>
        <v>0</v>
      </c>
      <c r="AA75" s="786">
        <f t="shared" si="41"/>
        <v>0</v>
      </c>
      <c r="AB75" s="786">
        <f t="shared" si="42"/>
        <v>0</v>
      </c>
      <c r="AC75" s="787">
        <f t="shared" si="43"/>
        <v>0</v>
      </c>
      <c r="AD75" s="787">
        <f t="shared" si="44"/>
        <v>0</v>
      </c>
      <c r="AE75" s="787">
        <f t="shared" si="45"/>
        <v>0</v>
      </c>
      <c r="AF75" s="787">
        <f t="shared" si="46"/>
        <v>0</v>
      </c>
      <c r="AG75" s="787">
        <f t="shared" si="47"/>
        <v>0</v>
      </c>
      <c r="AH75" s="788">
        <f t="shared" si="48"/>
        <v>0</v>
      </c>
      <c r="AI75" s="1883"/>
      <c r="AJ75" s="787">
        <f t="shared" si="49"/>
        <v>0</v>
      </c>
      <c r="AK75" s="787">
        <f t="shared" si="50"/>
        <v>0</v>
      </c>
      <c r="AL75" s="792">
        <f t="shared" si="51"/>
        <v>0</v>
      </c>
      <c r="AM75" s="1138">
        <v>8</v>
      </c>
      <c r="AN75" s="769">
        <v>9</v>
      </c>
      <c r="AO75" s="769">
        <v>17</v>
      </c>
      <c r="AP75" s="769"/>
      <c r="AQ75" s="1251"/>
      <c r="AR75" s="1249"/>
      <c r="AS75" s="1249"/>
      <c r="AT75" s="1249"/>
    </row>
    <row r="76" spans="1:46" ht="14.25" customHeight="1">
      <c r="A76" s="601"/>
      <c r="B76" s="2225">
        <v>0.18</v>
      </c>
      <c r="C76" s="2439" t="s">
        <v>487</v>
      </c>
      <c r="D76" s="2440"/>
      <c r="E76" s="639"/>
      <c r="F76" s="640"/>
      <c r="G76" s="641">
        <f t="shared" si="26"/>
        <v>0</v>
      </c>
      <c r="H76" s="661">
        <f t="shared" si="53"/>
        <v>0</v>
      </c>
      <c r="I76" s="642">
        <v>12</v>
      </c>
      <c r="J76" s="642">
        <v>1.1000000000000001</v>
      </c>
      <c r="K76" s="645">
        <v>0.2</v>
      </c>
      <c r="L76" s="628">
        <v>13</v>
      </c>
      <c r="M76" s="646">
        <v>0.1</v>
      </c>
      <c r="N76" s="117">
        <v>80</v>
      </c>
      <c r="O76" s="117">
        <v>110</v>
      </c>
      <c r="P76" s="117">
        <v>7.9000000000000001E-2</v>
      </c>
      <c r="Q76" s="117">
        <v>0.5</v>
      </c>
      <c r="R76" s="117">
        <v>0.21299999999999999</v>
      </c>
      <c r="S76" s="118">
        <v>0.112</v>
      </c>
      <c r="T76" s="601"/>
      <c r="U76" s="1151">
        <f t="shared" si="54"/>
        <v>6.7999999999999918</v>
      </c>
      <c r="V76" s="1151">
        <f t="shared" si="1"/>
        <v>192.77659999999977</v>
      </c>
      <c r="W76" s="108"/>
      <c r="X76" s="785">
        <f t="shared" si="38"/>
        <v>0</v>
      </c>
      <c r="Y76" s="786">
        <f t="shared" si="39"/>
        <v>0</v>
      </c>
      <c r="Z76" s="786">
        <f t="shared" si="40"/>
        <v>0</v>
      </c>
      <c r="AA76" s="786">
        <f t="shared" si="41"/>
        <v>0</v>
      </c>
      <c r="AB76" s="786">
        <f t="shared" si="42"/>
        <v>0</v>
      </c>
      <c r="AC76" s="787">
        <f t="shared" si="43"/>
        <v>0</v>
      </c>
      <c r="AD76" s="787">
        <f t="shared" si="44"/>
        <v>0</v>
      </c>
      <c r="AE76" s="787">
        <f t="shared" si="45"/>
        <v>0</v>
      </c>
      <c r="AF76" s="787">
        <f t="shared" si="46"/>
        <v>0</v>
      </c>
      <c r="AG76" s="787">
        <f t="shared" si="47"/>
        <v>0</v>
      </c>
      <c r="AH76" s="788">
        <f t="shared" si="48"/>
        <v>0</v>
      </c>
      <c r="AI76" s="1883" t="s">
        <v>25</v>
      </c>
      <c r="AJ76" s="787">
        <f t="shared" si="49"/>
        <v>0</v>
      </c>
      <c r="AK76" s="787">
        <f t="shared" si="50"/>
        <v>0</v>
      </c>
      <c r="AL76" s="792">
        <f t="shared" si="51"/>
        <v>0</v>
      </c>
      <c r="AM76" s="1138">
        <v>13</v>
      </c>
      <c r="AN76" s="769">
        <v>12</v>
      </c>
      <c r="AO76" s="769">
        <v>12</v>
      </c>
      <c r="AP76" s="769"/>
      <c r="AQ76" s="1251"/>
      <c r="AR76" s="1249"/>
      <c r="AS76" s="1249"/>
      <c r="AT76" s="1249"/>
    </row>
    <row r="77" spans="1:46" ht="14.25" customHeight="1">
      <c r="A77" s="601"/>
      <c r="B77" s="2225">
        <v>0.14000000000000001</v>
      </c>
      <c r="C77" s="2439" t="s">
        <v>488</v>
      </c>
      <c r="D77" s="2440" t="s">
        <v>435</v>
      </c>
      <c r="E77" s="639"/>
      <c r="F77" s="640"/>
      <c r="G77" s="641">
        <f t="shared" si="26"/>
        <v>0</v>
      </c>
      <c r="H77" s="661">
        <f t="shared" si="53"/>
        <v>0</v>
      </c>
      <c r="I77" s="642">
        <v>7</v>
      </c>
      <c r="J77" s="642">
        <v>1.6</v>
      </c>
      <c r="K77" s="642">
        <v>0.15</v>
      </c>
      <c r="L77" s="638">
        <v>11</v>
      </c>
      <c r="M77" s="646">
        <v>0.9</v>
      </c>
      <c r="N77" s="117">
        <v>90</v>
      </c>
      <c r="O77" s="117">
        <v>155</v>
      </c>
      <c r="P77" s="117">
        <v>2.8000000000000001E-2</v>
      </c>
      <c r="Q77" s="117">
        <v>0.41699999999999998</v>
      </c>
      <c r="R77" s="117">
        <v>0.13500000000000001</v>
      </c>
      <c r="S77" s="118">
        <v>2.9000000000000001E-2</v>
      </c>
      <c r="T77" s="601"/>
      <c r="U77" s="1151">
        <f t="shared" si="54"/>
        <v>6.8999999999999915</v>
      </c>
      <c r="V77" s="1151">
        <f t="shared" ref="V77:V141" si="55">U77*28.3495</f>
        <v>195.61154999999974</v>
      </c>
      <c r="W77" s="108"/>
      <c r="X77" s="785">
        <f t="shared" si="38"/>
        <v>0</v>
      </c>
      <c r="Y77" s="786">
        <f t="shared" si="39"/>
        <v>0</v>
      </c>
      <c r="Z77" s="786">
        <f t="shared" si="40"/>
        <v>0</v>
      </c>
      <c r="AA77" s="786">
        <f t="shared" si="41"/>
        <v>0</v>
      </c>
      <c r="AB77" s="786">
        <f t="shared" si="42"/>
        <v>0</v>
      </c>
      <c r="AC77" s="787">
        <f t="shared" si="43"/>
        <v>0</v>
      </c>
      <c r="AD77" s="787">
        <f t="shared" si="44"/>
        <v>0</v>
      </c>
      <c r="AE77" s="787">
        <f t="shared" si="45"/>
        <v>0</v>
      </c>
      <c r="AF77" s="787">
        <f t="shared" si="46"/>
        <v>0</v>
      </c>
      <c r="AG77" s="787">
        <f t="shared" si="47"/>
        <v>0</v>
      </c>
      <c r="AH77" s="788">
        <f t="shared" si="48"/>
        <v>0</v>
      </c>
      <c r="AI77" s="1883" t="s">
        <v>436</v>
      </c>
      <c r="AJ77" s="787">
        <f t="shared" si="49"/>
        <v>0</v>
      </c>
      <c r="AK77" s="787">
        <f t="shared" si="50"/>
        <v>0</v>
      </c>
      <c r="AL77" s="792">
        <f t="shared" si="51"/>
        <v>0</v>
      </c>
      <c r="AM77" s="1138">
        <v>6</v>
      </c>
      <c r="AN77" s="769">
        <v>7</v>
      </c>
      <c r="AO77" s="769">
        <v>16</v>
      </c>
      <c r="AP77" s="769"/>
      <c r="AQ77" s="1251"/>
      <c r="AR77" s="1249"/>
      <c r="AS77" s="1249"/>
      <c r="AT77" s="1249"/>
    </row>
    <row r="78" spans="1:46" ht="14.25" customHeight="1">
      <c r="A78" s="601"/>
      <c r="B78" s="2225">
        <v>0.14000000000000001</v>
      </c>
      <c r="C78" s="2439"/>
      <c r="D78" s="2440" t="s">
        <v>438</v>
      </c>
      <c r="E78" s="639"/>
      <c r="F78" s="640"/>
      <c r="G78" s="641">
        <f t="shared" si="26"/>
        <v>0</v>
      </c>
      <c r="H78" s="661">
        <f t="shared" si="53"/>
        <v>0</v>
      </c>
      <c r="I78" s="642">
        <v>10</v>
      </c>
      <c r="J78" s="645">
        <v>1.5</v>
      </c>
      <c r="K78" s="642">
        <v>0.15</v>
      </c>
      <c r="L78" s="628">
        <v>11</v>
      </c>
      <c r="M78" s="646">
        <v>0.9</v>
      </c>
      <c r="N78" s="117">
        <v>90</v>
      </c>
      <c r="O78" s="117">
        <v>155</v>
      </c>
      <c r="P78" s="117">
        <v>2.8000000000000001E-2</v>
      </c>
      <c r="Q78" s="117">
        <v>0.41699999999999998</v>
      </c>
      <c r="R78" s="117">
        <v>0.13500000000000001</v>
      </c>
      <c r="S78" s="118">
        <v>2.9000000000000001E-2</v>
      </c>
      <c r="T78" s="601"/>
      <c r="U78" s="1151">
        <f t="shared" si="54"/>
        <v>6.9999999999999911</v>
      </c>
      <c r="V78" s="1151">
        <f t="shared" si="55"/>
        <v>198.44649999999973</v>
      </c>
      <c r="W78" s="108"/>
      <c r="X78" s="785">
        <f t="shared" si="38"/>
        <v>0</v>
      </c>
      <c r="Y78" s="786">
        <f t="shared" si="39"/>
        <v>0</v>
      </c>
      <c r="Z78" s="786">
        <f t="shared" si="40"/>
        <v>0</v>
      </c>
      <c r="AA78" s="786">
        <f t="shared" si="41"/>
        <v>0</v>
      </c>
      <c r="AB78" s="786">
        <f t="shared" si="42"/>
        <v>0</v>
      </c>
      <c r="AC78" s="787">
        <f t="shared" si="43"/>
        <v>0</v>
      </c>
      <c r="AD78" s="787">
        <f t="shared" si="44"/>
        <v>0</v>
      </c>
      <c r="AE78" s="787">
        <f t="shared" si="45"/>
        <v>0</v>
      </c>
      <c r="AF78" s="787">
        <f t="shared" si="46"/>
        <v>0</v>
      </c>
      <c r="AG78" s="787">
        <f t="shared" si="47"/>
        <v>0</v>
      </c>
      <c r="AH78" s="788">
        <f t="shared" si="48"/>
        <v>0</v>
      </c>
      <c r="AI78" s="1883" t="s">
        <v>436</v>
      </c>
      <c r="AJ78" s="787">
        <f t="shared" si="49"/>
        <v>0</v>
      </c>
      <c r="AK78" s="787">
        <f t="shared" si="50"/>
        <v>0</v>
      </c>
      <c r="AL78" s="792">
        <f t="shared" si="51"/>
        <v>0</v>
      </c>
      <c r="AM78" s="1138">
        <v>6</v>
      </c>
      <c r="AN78" s="769">
        <v>7</v>
      </c>
      <c r="AO78" s="769">
        <v>16</v>
      </c>
      <c r="AP78" s="769"/>
      <c r="AQ78" s="1251"/>
      <c r="AR78" s="1249"/>
      <c r="AS78" s="1249"/>
      <c r="AT78" s="1249"/>
    </row>
    <row r="79" spans="1:46" ht="14.25" customHeight="1">
      <c r="A79" s="601"/>
      <c r="B79" s="2225">
        <v>0.69</v>
      </c>
      <c r="C79" s="2439" t="s">
        <v>489</v>
      </c>
      <c r="D79" s="2440"/>
      <c r="E79" s="639"/>
      <c r="F79" s="640"/>
      <c r="G79" s="641">
        <f t="shared" si="26"/>
        <v>0</v>
      </c>
      <c r="H79" s="661">
        <f t="shared" si="53"/>
        <v>0</v>
      </c>
      <c r="I79" s="642">
        <v>47</v>
      </c>
      <c r="J79" s="642">
        <v>1.3</v>
      </c>
      <c r="K79" s="645">
        <v>1</v>
      </c>
      <c r="L79" s="638">
        <v>70</v>
      </c>
      <c r="M79" s="644">
        <v>5.5</v>
      </c>
      <c r="N79" s="116">
        <v>50</v>
      </c>
      <c r="O79" s="117">
        <v>730</v>
      </c>
      <c r="P79" s="117">
        <v>0.11799999999999999</v>
      </c>
      <c r="Q79" s="117">
        <v>2.9950000000000001</v>
      </c>
      <c r="R79" s="117">
        <v>0.41799999999999998</v>
      </c>
      <c r="S79" s="118">
        <v>0.745</v>
      </c>
      <c r="T79" s="601"/>
      <c r="U79" s="1151">
        <f t="shared" si="54"/>
        <v>7.0999999999999908</v>
      </c>
      <c r="V79" s="1151">
        <f t="shared" si="55"/>
        <v>201.28144999999972</v>
      </c>
      <c r="W79" s="108"/>
      <c r="X79" s="785">
        <f t="shared" si="38"/>
        <v>0</v>
      </c>
      <c r="Y79" s="786">
        <f t="shared" si="39"/>
        <v>0</v>
      </c>
      <c r="Z79" s="786">
        <f t="shared" si="40"/>
        <v>0</v>
      </c>
      <c r="AA79" s="786">
        <f t="shared" si="41"/>
        <v>0</v>
      </c>
      <c r="AB79" s="786">
        <f t="shared" si="42"/>
        <v>0</v>
      </c>
      <c r="AC79" s="787">
        <f t="shared" si="43"/>
        <v>0</v>
      </c>
      <c r="AD79" s="787">
        <f t="shared" si="44"/>
        <v>0</v>
      </c>
      <c r="AE79" s="787">
        <f t="shared" si="45"/>
        <v>0</v>
      </c>
      <c r="AF79" s="787">
        <f t="shared" si="46"/>
        <v>0</v>
      </c>
      <c r="AG79" s="787">
        <f t="shared" si="47"/>
        <v>0</v>
      </c>
      <c r="AH79" s="788">
        <f t="shared" si="48"/>
        <v>0</v>
      </c>
      <c r="AI79" s="1883" t="s">
        <v>436</v>
      </c>
      <c r="AJ79" s="787">
        <f t="shared" si="49"/>
        <v>0</v>
      </c>
      <c r="AK79" s="787">
        <f t="shared" si="50"/>
        <v>0</v>
      </c>
      <c r="AL79" s="792">
        <f t="shared" si="51"/>
        <v>0</v>
      </c>
      <c r="AM79" s="1138">
        <v>43</v>
      </c>
      <c r="AN79" s="769">
        <v>41</v>
      </c>
      <c r="AO79" s="769">
        <v>69</v>
      </c>
      <c r="AP79" s="769"/>
      <c r="AQ79" s="1251"/>
      <c r="AR79" s="1249"/>
      <c r="AS79" s="1249"/>
      <c r="AT79" s="1249"/>
    </row>
    <row r="80" spans="1:46" ht="14.25" customHeight="1">
      <c r="A80" s="601"/>
      <c r="B80" s="2225">
        <v>0.12</v>
      </c>
      <c r="C80" s="2439" t="s">
        <v>490</v>
      </c>
      <c r="D80" s="2440"/>
      <c r="E80" s="639"/>
      <c r="F80" s="640"/>
      <c r="G80" s="641">
        <f t="shared" si="26"/>
        <v>0</v>
      </c>
      <c r="H80" s="661">
        <f t="shared" si="53"/>
        <v>0</v>
      </c>
      <c r="I80" s="642">
        <v>8</v>
      </c>
      <c r="J80" s="642">
        <v>0.95</v>
      </c>
      <c r="K80" s="642">
        <v>0.15</v>
      </c>
      <c r="L80" s="628">
        <v>15</v>
      </c>
      <c r="M80" s="646">
        <v>1.1000000000000001</v>
      </c>
      <c r="N80" s="117">
        <v>50</v>
      </c>
      <c r="O80" s="117">
        <v>190</v>
      </c>
      <c r="P80" s="117">
        <v>0.02</v>
      </c>
      <c r="Q80" s="117">
        <v>0.2</v>
      </c>
      <c r="R80" s="117">
        <v>8.1000000000000003E-2</v>
      </c>
      <c r="S80" s="118">
        <v>0.04</v>
      </c>
      <c r="T80" s="601"/>
      <c r="U80" s="1151">
        <f t="shared" si="54"/>
        <v>7.1999999999999904</v>
      </c>
      <c r="V80" s="1151">
        <f t="shared" si="55"/>
        <v>204.11639999999971</v>
      </c>
      <c r="W80" s="108"/>
      <c r="X80" s="785">
        <f t="shared" si="38"/>
        <v>0</v>
      </c>
      <c r="Y80" s="786">
        <f t="shared" si="39"/>
        <v>0</v>
      </c>
      <c r="Z80" s="786">
        <f t="shared" si="40"/>
        <v>0</v>
      </c>
      <c r="AA80" s="786">
        <f t="shared" si="41"/>
        <v>0</v>
      </c>
      <c r="AB80" s="786">
        <f t="shared" si="42"/>
        <v>0</v>
      </c>
      <c r="AC80" s="787">
        <f t="shared" si="43"/>
        <v>0</v>
      </c>
      <c r="AD80" s="787">
        <f t="shared" si="44"/>
        <v>0</v>
      </c>
      <c r="AE80" s="787">
        <f t="shared" si="45"/>
        <v>0</v>
      </c>
      <c r="AF80" s="787">
        <f t="shared" si="46"/>
        <v>0</v>
      </c>
      <c r="AG80" s="787">
        <f t="shared" si="47"/>
        <v>0</v>
      </c>
      <c r="AH80" s="788">
        <f t="shared" si="48"/>
        <v>0</v>
      </c>
      <c r="AI80" s="1883" t="s">
        <v>436</v>
      </c>
      <c r="AJ80" s="787">
        <f t="shared" si="49"/>
        <v>0</v>
      </c>
      <c r="AK80" s="787">
        <f t="shared" si="50"/>
        <v>0</v>
      </c>
      <c r="AL80" s="792">
        <f t="shared" si="51"/>
        <v>0</v>
      </c>
      <c r="AM80" s="1138">
        <v>11</v>
      </c>
      <c r="AN80" s="769">
        <v>8</v>
      </c>
      <c r="AO80" s="769">
        <v>17</v>
      </c>
      <c r="AP80" s="769"/>
      <c r="AQ80" s="1251"/>
      <c r="AR80" s="1249"/>
      <c r="AS80" s="1249"/>
      <c r="AT80" s="1249"/>
    </row>
    <row r="81" spans="1:46" ht="14.25" customHeight="1">
      <c r="A81" s="601"/>
      <c r="B81" s="2225">
        <v>0.8</v>
      </c>
      <c r="C81" s="2439" t="s">
        <v>491</v>
      </c>
      <c r="D81" s="2440"/>
      <c r="E81" s="639"/>
      <c r="F81" s="640"/>
      <c r="G81" s="641">
        <f t="shared" si="26"/>
        <v>0</v>
      </c>
      <c r="H81" s="661">
        <f t="shared" si="53"/>
        <v>0</v>
      </c>
      <c r="I81" s="642">
        <v>67</v>
      </c>
      <c r="J81" s="642">
        <v>2</v>
      </c>
      <c r="K81" s="645">
        <v>0.5</v>
      </c>
      <c r="L81" s="628">
        <v>79</v>
      </c>
      <c r="M81" s="644">
        <v>1.6</v>
      </c>
      <c r="N81" s="116">
        <v>50</v>
      </c>
      <c r="O81" s="117">
        <v>740</v>
      </c>
      <c r="P81" s="117">
        <v>0.106</v>
      </c>
      <c r="Q81" s="117">
        <v>0.76600000000000001</v>
      </c>
      <c r="R81" s="117">
        <v>9.5000000000000001E-2</v>
      </c>
      <c r="S81" s="118">
        <v>0.17399999999999999</v>
      </c>
      <c r="T81" s="601"/>
      <c r="U81" s="1151">
        <f t="shared" si="54"/>
        <v>7.2999999999999901</v>
      </c>
      <c r="V81" s="1151">
        <f t="shared" si="55"/>
        <v>206.95134999999971</v>
      </c>
      <c r="W81" s="108"/>
      <c r="X81" s="785">
        <f t="shared" si="38"/>
        <v>0</v>
      </c>
      <c r="Y81" s="786">
        <f t="shared" si="39"/>
        <v>0</v>
      </c>
      <c r="Z81" s="786">
        <f t="shared" si="40"/>
        <v>0</v>
      </c>
      <c r="AA81" s="786">
        <f t="shared" si="41"/>
        <v>0</v>
      </c>
      <c r="AB81" s="786">
        <f t="shared" si="42"/>
        <v>0</v>
      </c>
      <c r="AC81" s="787">
        <f t="shared" si="43"/>
        <v>0</v>
      </c>
      <c r="AD81" s="787">
        <f t="shared" si="44"/>
        <v>0</v>
      </c>
      <c r="AE81" s="787">
        <f t="shared" si="45"/>
        <v>0</v>
      </c>
      <c r="AF81" s="787">
        <f t="shared" si="46"/>
        <v>0</v>
      </c>
      <c r="AG81" s="787">
        <f t="shared" si="47"/>
        <v>0</v>
      </c>
      <c r="AH81" s="788">
        <f t="shared" si="48"/>
        <v>0</v>
      </c>
      <c r="AI81" s="1883" t="s">
        <v>464</v>
      </c>
      <c r="AJ81" s="787">
        <f t="shared" si="49"/>
        <v>0</v>
      </c>
      <c r="AK81" s="787">
        <f t="shared" si="50"/>
        <v>0</v>
      </c>
      <c r="AL81" s="792">
        <f t="shared" si="51"/>
        <v>0</v>
      </c>
      <c r="AM81" s="1138">
        <v>50</v>
      </c>
      <c r="AN81" s="769">
        <v>32</v>
      </c>
      <c r="AO81" s="769">
        <v>100</v>
      </c>
      <c r="AP81" s="769"/>
      <c r="AQ81" s="1251"/>
      <c r="AR81" s="1249"/>
      <c r="AS81" s="1249"/>
      <c r="AT81" s="1249"/>
    </row>
    <row r="82" spans="1:46" ht="14.25" customHeight="1">
      <c r="A82" s="601"/>
      <c r="B82" s="2225">
        <v>0.15</v>
      </c>
      <c r="C82" s="2439" t="s">
        <v>492</v>
      </c>
      <c r="D82" s="2440"/>
      <c r="E82" s="639"/>
      <c r="F82" s="640"/>
      <c r="G82" s="641">
        <f t="shared" si="26"/>
        <v>0</v>
      </c>
      <c r="H82" s="661">
        <f t="shared" si="53"/>
        <v>0</v>
      </c>
      <c r="I82" s="642">
        <v>6.5</v>
      </c>
      <c r="J82" s="642">
        <v>1.5</v>
      </c>
      <c r="K82" s="642">
        <v>0.25</v>
      </c>
      <c r="L82" s="628">
        <v>12</v>
      </c>
      <c r="M82" s="646">
        <v>0.5</v>
      </c>
      <c r="N82" s="117">
        <v>140</v>
      </c>
      <c r="O82" s="117">
        <v>151</v>
      </c>
      <c r="P82" s="117">
        <v>0.03</v>
      </c>
      <c r="Q82" s="117">
        <v>0.6</v>
      </c>
      <c r="R82" s="116">
        <v>0</v>
      </c>
      <c r="S82" s="118">
        <v>0.06</v>
      </c>
      <c r="T82" s="601"/>
      <c r="U82" s="1151">
        <f t="shared" si="54"/>
        <v>7.3999999999999897</v>
      </c>
      <c r="V82" s="1151">
        <f t="shared" si="55"/>
        <v>209.7862999999997</v>
      </c>
      <c r="W82" s="1616"/>
      <c r="X82" s="785">
        <f t="shared" si="38"/>
        <v>0</v>
      </c>
      <c r="Y82" s="786">
        <f t="shared" si="39"/>
        <v>0</v>
      </c>
      <c r="Z82" s="786">
        <f t="shared" si="40"/>
        <v>0</v>
      </c>
      <c r="AA82" s="786">
        <f t="shared" si="41"/>
        <v>0</v>
      </c>
      <c r="AB82" s="786">
        <f t="shared" si="42"/>
        <v>0</v>
      </c>
      <c r="AC82" s="787">
        <f t="shared" si="43"/>
        <v>0</v>
      </c>
      <c r="AD82" s="787">
        <f t="shared" si="44"/>
        <v>0</v>
      </c>
      <c r="AE82" s="787">
        <f t="shared" si="45"/>
        <v>0</v>
      </c>
      <c r="AF82" s="787">
        <f t="shared" si="46"/>
        <v>0</v>
      </c>
      <c r="AG82" s="787">
        <f t="shared" si="47"/>
        <v>0</v>
      </c>
      <c r="AH82" s="788">
        <f t="shared" si="48"/>
        <v>0</v>
      </c>
      <c r="AI82" s="1883" t="s">
        <v>25</v>
      </c>
      <c r="AJ82" s="787">
        <f t="shared" si="49"/>
        <v>0</v>
      </c>
      <c r="AK82" s="787">
        <f t="shared" si="50"/>
        <v>0</v>
      </c>
      <c r="AL82" s="792">
        <f t="shared" si="51"/>
        <v>0</v>
      </c>
      <c r="AM82" s="1138">
        <v>25</v>
      </c>
      <c r="AN82" s="769">
        <v>22</v>
      </c>
      <c r="AO82" s="769">
        <v>29</v>
      </c>
      <c r="AP82" s="769"/>
      <c r="AQ82" s="1251"/>
      <c r="AR82" s="1249"/>
      <c r="AS82" s="1249"/>
      <c r="AT82" s="1249"/>
    </row>
    <row r="83" spans="1:46" ht="14.25" customHeight="1">
      <c r="A83" s="601"/>
      <c r="B83" s="2225">
        <v>0.17</v>
      </c>
      <c r="C83" s="2439" t="s">
        <v>493</v>
      </c>
      <c r="D83" s="2440"/>
      <c r="E83" s="639"/>
      <c r="F83" s="640"/>
      <c r="G83" s="641">
        <f t="shared" si="26"/>
        <v>0</v>
      </c>
      <c r="H83" s="661">
        <f t="shared" si="53"/>
        <v>0</v>
      </c>
      <c r="I83" s="642">
        <v>7.37</v>
      </c>
      <c r="J83" s="642">
        <v>2.2999999999999998</v>
      </c>
      <c r="K83" s="642">
        <v>0.1</v>
      </c>
      <c r="L83" s="626">
        <v>13.8</v>
      </c>
      <c r="M83" s="646">
        <v>0.6</v>
      </c>
      <c r="N83" s="117">
        <v>180</v>
      </c>
      <c r="O83" s="117">
        <v>270</v>
      </c>
      <c r="P83" s="117">
        <v>0.04</v>
      </c>
      <c r="Q83" s="117">
        <v>0.1</v>
      </c>
      <c r="R83" s="117">
        <v>6.4000000000000001E-2</v>
      </c>
      <c r="S83" s="118">
        <v>7.0000000000000007E-2</v>
      </c>
      <c r="T83" s="601"/>
      <c r="U83" s="1151">
        <f t="shared" si="54"/>
        <v>7.4999999999999893</v>
      </c>
      <c r="V83" s="1151">
        <f t="shared" si="55"/>
        <v>212.62124999999969</v>
      </c>
      <c r="W83" s="108"/>
      <c r="X83" s="785">
        <f t="shared" si="38"/>
        <v>0</v>
      </c>
      <c r="Y83" s="786">
        <f t="shared" si="39"/>
        <v>0</v>
      </c>
      <c r="Z83" s="786">
        <f t="shared" si="40"/>
        <v>0</v>
      </c>
      <c r="AA83" s="786">
        <f t="shared" si="41"/>
        <v>0</v>
      </c>
      <c r="AB83" s="786">
        <f t="shared" si="42"/>
        <v>0</v>
      </c>
      <c r="AC83" s="787">
        <f t="shared" si="43"/>
        <v>0</v>
      </c>
      <c r="AD83" s="787">
        <f t="shared" si="44"/>
        <v>0</v>
      </c>
      <c r="AE83" s="787">
        <f t="shared" si="45"/>
        <v>0</v>
      </c>
      <c r="AF83" s="787">
        <f t="shared" si="46"/>
        <v>0</v>
      </c>
      <c r="AG83" s="787">
        <f t="shared" si="47"/>
        <v>0</v>
      </c>
      <c r="AH83" s="788">
        <f t="shared" si="48"/>
        <v>0</v>
      </c>
      <c r="AI83" s="1883" t="s">
        <v>25</v>
      </c>
      <c r="AJ83" s="787">
        <f t="shared" si="49"/>
        <v>0</v>
      </c>
      <c r="AK83" s="787">
        <f t="shared" si="50"/>
        <v>0</v>
      </c>
      <c r="AL83" s="792">
        <f t="shared" si="51"/>
        <v>0</v>
      </c>
      <c r="AM83" s="1138">
        <v>33</v>
      </c>
      <c r="AN83" s="769">
        <v>13</v>
      </c>
      <c r="AO83" s="769">
        <v>44</v>
      </c>
      <c r="AP83" s="769"/>
      <c r="AQ83" s="1251"/>
      <c r="AR83" s="1249"/>
      <c r="AS83" s="1249"/>
      <c r="AT83" s="1249"/>
    </row>
    <row r="84" spans="1:46" ht="14.25" customHeight="1">
      <c r="A84" s="601"/>
      <c r="B84" s="2225">
        <v>0.2</v>
      </c>
      <c r="C84" s="2444" t="s">
        <v>1166</v>
      </c>
      <c r="D84" s="2440" t="s">
        <v>444</v>
      </c>
      <c r="E84" s="639">
        <v>4</v>
      </c>
      <c r="F84" s="640"/>
      <c r="G84" s="641">
        <f>453.6*(E84+F84/16)</f>
        <v>1814.4</v>
      </c>
      <c r="H84" s="661">
        <f t="shared" si="53"/>
        <v>362.88000000000005</v>
      </c>
      <c r="I84" s="642">
        <v>1.1000000000000001</v>
      </c>
      <c r="J84" s="642">
        <v>1.5</v>
      </c>
      <c r="K84" s="642">
        <v>0.1</v>
      </c>
      <c r="L84" s="626">
        <v>4.5</v>
      </c>
      <c r="M84" s="646">
        <v>0.4</v>
      </c>
      <c r="N84" s="117">
        <v>100</v>
      </c>
      <c r="O84" s="117">
        <v>280</v>
      </c>
      <c r="P84" s="117">
        <v>0.02</v>
      </c>
      <c r="Q84" s="117">
        <v>0.3</v>
      </c>
      <c r="R84" s="117">
        <v>8.5000000000000006E-2</v>
      </c>
      <c r="S84" s="118">
        <v>2.4E-2</v>
      </c>
      <c r="T84" s="601"/>
      <c r="U84" s="1151">
        <f t="shared" si="54"/>
        <v>7.599999999999989</v>
      </c>
      <c r="V84" s="1151">
        <f t="shared" si="55"/>
        <v>215.45619999999968</v>
      </c>
      <c r="W84" s="108"/>
      <c r="X84" s="785">
        <f t="shared" si="38"/>
        <v>19.958400000000005</v>
      </c>
      <c r="Y84" s="786">
        <f t="shared" si="39"/>
        <v>27.216000000000005</v>
      </c>
      <c r="Z84" s="786">
        <f t="shared" si="40"/>
        <v>1.8144000000000002</v>
      </c>
      <c r="AA84" s="786">
        <f t="shared" si="41"/>
        <v>61.689599999999999</v>
      </c>
      <c r="AB84" s="786">
        <f t="shared" si="42"/>
        <v>0.60480000000000012</v>
      </c>
      <c r="AC84" s="787">
        <f t="shared" si="43"/>
        <v>1814.4</v>
      </c>
      <c r="AD84" s="787">
        <f t="shared" si="44"/>
        <v>5080.32</v>
      </c>
      <c r="AE84" s="787">
        <f t="shared" si="45"/>
        <v>0.36288000000000004</v>
      </c>
      <c r="AF84" s="787">
        <f t="shared" si="46"/>
        <v>5.4432000000000009</v>
      </c>
      <c r="AG84" s="787">
        <f t="shared" si="47"/>
        <v>1.5422400000000003</v>
      </c>
      <c r="AH84" s="788">
        <f t="shared" si="48"/>
        <v>0.43545600000000001</v>
      </c>
      <c r="AI84" s="1883" t="s">
        <v>436</v>
      </c>
      <c r="AJ84" s="787">
        <f t="shared" si="49"/>
        <v>1632.96</v>
      </c>
      <c r="AK84" s="787">
        <f t="shared" si="50"/>
        <v>217.72800000000004</v>
      </c>
      <c r="AL84" s="792">
        <f t="shared" si="51"/>
        <v>254.01600000000002</v>
      </c>
      <c r="AM84" s="1138">
        <v>90</v>
      </c>
      <c r="AN84" s="769">
        <v>12</v>
      </c>
      <c r="AO84" s="769">
        <v>14</v>
      </c>
      <c r="AP84" s="769"/>
      <c r="AQ84" s="1251"/>
      <c r="AR84" s="1249"/>
      <c r="AS84" s="1249"/>
      <c r="AT84" s="1249"/>
    </row>
    <row r="85" spans="1:46" ht="14.25" customHeight="1">
      <c r="A85" s="601"/>
      <c r="B85" s="2225">
        <v>0</v>
      </c>
      <c r="C85" s="2445"/>
      <c r="D85" s="2440" t="s">
        <v>459</v>
      </c>
      <c r="E85" s="639"/>
      <c r="F85" s="640"/>
      <c r="G85" s="641">
        <f>100*453.6*(E85+F85/16)/D86</f>
        <v>0</v>
      </c>
      <c r="H85" s="661">
        <f t="shared" si="53"/>
        <v>0</v>
      </c>
      <c r="I85" s="645">
        <v>1</v>
      </c>
      <c r="J85" s="645">
        <v>1.4</v>
      </c>
      <c r="K85" s="645">
        <v>0.1</v>
      </c>
      <c r="L85" s="638">
        <v>1.1000000000000001</v>
      </c>
      <c r="M85" s="644">
        <v>0.2</v>
      </c>
      <c r="N85" s="116">
        <v>100</v>
      </c>
      <c r="O85" s="116">
        <v>150</v>
      </c>
      <c r="P85" s="116">
        <v>0.02</v>
      </c>
      <c r="Q85" s="116">
        <v>0.3</v>
      </c>
      <c r="R85" s="116">
        <v>0.08</v>
      </c>
      <c r="S85" s="119">
        <v>0.02</v>
      </c>
      <c r="T85" s="601"/>
      <c r="U85" s="1151">
        <f t="shared" si="54"/>
        <v>7.6999999999999886</v>
      </c>
      <c r="V85" s="1151">
        <f t="shared" si="55"/>
        <v>218.29114999999967</v>
      </c>
      <c r="W85" s="108"/>
      <c r="X85" s="785">
        <f t="shared" si="38"/>
        <v>0</v>
      </c>
      <c r="Y85" s="786">
        <f t="shared" si="39"/>
        <v>0</v>
      </c>
      <c r="Z85" s="786">
        <f t="shared" si="40"/>
        <v>0</v>
      </c>
      <c r="AA85" s="786">
        <f t="shared" si="41"/>
        <v>0</v>
      </c>
      <c r="AB85" s="786">
        <f t="shared" si="42"/>
        <v>0</v>
      </c>
      <c r="AC85" s="787">
        <f t="shared" si="43"/>
        <v>0</v>
      </c>
      <c r="AD85" s="787">
        <f t="shared" si="44"/>
        <v>0</v>
      </c>
      <c r="AE85" s="787">
        <f t="shared" si="45"/>
        <v>0</v>
      </c>
      <c r="AF85" s="787">
        <f t="shared" si="46"/>
        <v>0</v>
      </c>
      <c r="AG85" s="787">
        <f t="shared" si="47"/>
        <v>0</v>
      </c>
      <c r="AH85" s="788">
        <f t="shared" si="48"/>
        <v>0</v>
      </c>
      <c r="AI85" s="1883" t="s">
        <v>436</v>
      </c>
      <c r="AJ85" s="787">
        <f t="shared" si="49"/>
        <v>0</v>
      </c>
      <c r="AK85" s="787">
        <f t="shared" si="50"/>
        <v>0</v>
      </c>
      <c r="AL85" s="792">
        <f t="shared" si="51"/>
        <v>0</v>
      </c>
      <c r="AM85" s="1884">
        <v>20</v>
      </c>
      <c r="AN85" s="1884">
        <v>10</v>
      </c>
      <c r="AO85" s="1884">
        <v>10</v>
      </c>
      <c r="AP85" s="769"/>
      <c r="AQ85" s="1251"/>
      <c r="AR85" s="1249"/>
      <c r="AS85" s="1249"/>
      <c r="AT85" s="1249"/>
    </row>
    <row r="86" spans="1:46" ht="14.25" customHeight="1">
      <c r="A86" s="601"/>
      <c r="B86" s="2224"/>
      <c r="C86" s="196" t="s">
        <v>531</v>
      </c>
      <c r="D86" s="654">
        <v>75</v>
      </c>
      <c r="E86" s="4142" t="s">
        <v>530</v>
      </c>
      <c r="F86" s="4142"/>
      <c r="G86" s="4143"/>
      <c r="H86" s="661"/>
      <c r="I86" s="4093" t="str">
        <f>(0+E84)&amp;" lb "&amp;(0+F84)&amp;" oz rhubarb gives approx. "&amp;FIXED(D86*G84/2890,1)&amp;" fl oz juice     OR     "&amp;(0+E85)&amp;" lb "&amp;(0+F85)&amp;" oz juice requires "&amp;(INT(T86/16))&amp;" lb "&amp;FIXED(T88,1)&amp;" oz rhubarb"</f>
        <v>4 lb 0 oz rhubarb gives approx. 47.1 fl oz juice     OR     0 lb 0 oz juice requires 0 lb 0.0 oz rhubarb</v>
      </c>
      <c r="J86" s="4093"/>
      <c r="K86" s="4093"/>
      <c r="L86" s="4093"/>
      <c r="M86" s="4093"/>
      <c r="N86" s="4093"/>
      <c r="O86" s="4093"/>
      <c r="P86" s="4093"/>
      <c r="Q86" s="4093"/>
      <c r="R86" s="4093"/>
      <c r="S86" s="4094"/>
      <c r="T86" s="125">
        <f>100*(16*E85+F85)/D86</f>
        <v>0</v>
      </c>
      <c r="U86" s="1151">
        <f t="shared" si="54"/>
        <v>7.7999999999999883</v>
      </c>
      <c r="V86" s="1151">
        <f t="shared" si="55"/>
        <v>221.12609999999967</v>
      </c>
      <c r="W86" s="108"/>
      <c r="X86" s="794"/>
      <c r="Y86" s="786"/>
      <c r="Z86" s="786"/>
      <c r="AA86" s="786"/>
      <c r="AB86" s="786"/>
      <c r="AC86" s="787"/>
      <c r="AD86" s="787"/>
      <c r="AE86" s="787"/>
      <c r="AF86" s="787"/>
      <c r="AG86" s="787"/>
      <c r="AH86" s="788"/>
      <c r="AI86" s="1883"/>
      <c r="AJ86" s="787"/>
      <c r="AK86" s="787"/>
      <c r="AL86" s="792"/>
      <c r="AM86" s="1884"/>
      <c r="AN86" s="1884"/>
      <c r="AO86" s="1884"/>
      <c r="AP86" s="769"/>
      <c r="AQ86" s="1251"/>
      <c r="AR86" s="1249"/>
      <c r="AS86" s="1249"/>
      <c r="AT86" s="1249"/>
    </row>
    <row r="87" spans="1:46" ht="14.25" customHeight="1">
      <c r="A87" s="601"/>
      <c r="B87" s="2224"/>
      <c r="C87" s="4137" t="s">
        <v>1474</v>
      </c>
      <c r="D87" s="4138"/>
      <c r="E87" s="4138"/>
      <c r="F87" s="4138"/>
      <c r="G87" s="4138"/>
      <c r="H87" s="4138"/>
      <c r="I87" s="4138"/>
      <c r="J87" s="4138"/>
      <c r="K87" s="4138"/>
      <c r="L87" s="4138"/>
      <c r="M87" s="4138"/>
      <c r="N87" s="4138"/>
      <c r="O87" s="4138"/>
      <c r="P87" s="4138"/>
      <c r="Q87" s="4138"/>
      <c r="R87" s="4138"/>
      <c r="S87" s="4139"/>
      <c r="T87" s="125">
        <f>INT(T86/16)</f>
        <v>0</v>
      </c>
      <c r="U87" s="1151">
        <f t="shared" si="54"/>
        <v>7.8999999999999879</v>
      </c>
      <c r="V87" s="1151">
        <f t="shared" si="55"/>
        <v>223.96104999999966</v>
      </c>
      <c r="W87" s="108"/>
      <c r="X87" s="785"/>
      <c r="Y87" s="786"/>
      <c r="Z87" s="786"/>
      <c r="AA87" s="786"/>
      <c r="AB87" s="786"/>
      <c r="AC87" s="787"/>
      <c r="AD87" s="787"/>
      <c r="AE87" s="787"/>
      <c r="AF87" s="787"/>
      <c r="AG87" s="787"/>
      <c r="AH87" s="788"/>
      <c r="AI87" s="1883"/>
      <c r="AJ87" s="787"/>
      <c r="AK87" s="787"/>
      <c r="AL87" s="792"/>
      <c r="AM87" s="1884"/>
      <c r="AN87" s="1884"/>
      <c r="AO87" s="1884"/>
      <c r="AP87" s="769"/>
      <c r="AQ87" s="1251"/>
      <c r="AR87" s="1249"/>
      <c r="AS87" s="1249"/>
      <c r="AT87" s="1249"/>
    </row>
    <row r="88" spans="1:46" ht="14.25" customHeight="1">
      <c r="A88" s="601"/>
      <c r="B88" s="2225">
        <v>0.17</v>
      </c>
      <c r="C88" s="2439" t="s">
        <v>495</v>
      </c>
      <c r="D88" s="2446"/>
      <c r="E88" s="639"/>
      <c r="F88" s="640"/>
      <c r="G88" s="641">
        <f t="shared" si="26"/>
        <v>0</v>
      </c>
      <c r="H88" s="661">
        <f t="shared" si="53"/>
        <v>0</v>
      </c>
      <c r="I88" s="642">
        <v>8</v>
      </c>
      <c r="J88" s="645">
        <v>2</v>
      </c>
      <c r="K88" s="645">
        <v>0.3</v>
      </c>
      <c r="L88" s="638">
        <v>9</v>
      </c>
      <c r="M88" s="644">
        <v>0.5</v>
      </c>
      <c r="N88" s="116">
        <v>100</v>
      </c>
      <c r="O88" s="116">
        <v>150</v>
      </c>
      <c r="P88" s="116">
        <v>0.02</v>
      </c>
      <c r="Q88" s="116">
        <v>0.3</v>
      </c>
      <c r="R88" s="116">
        <v>0.08</v>
      </c>
      <c r="S88" s="119">
        <v>0.02</v>
      </c>
      <c r="T88" s="125">
        <f>T86-16*T87</f>
        <v>0</v>
      </c>
      <c r="U88" s="1151">
        <f t="shared" si="54"/>
        <v>7.9999999999999876</v>
      </c>
      <c r="V88" s="1151">
        <f t="shared" si="55"/>
        <v>226.79599999999965</v>
      </c>
      <c r="W88" s="108"/>
      <c r="X88" s="785">
        <f t="shared" si="38"/>
        <v>0</v>
      </c>
      <c r="Y88" s="786">
        <f t="shared" si="39"/>
        <v>0</v>
      </c>
      <c r="Z88" s="786">
        <f t="shared" si="40"/>
        <v>0</v>
      </c>
      <c r="AA88" s="786">
        <f t="shared" si="41"/>
        <v>0</v>
      </c>
      <c r="AB88" s="786">
        <f t="shared" si="42"/>
        <v>0</v>
      </c>
      <c r="AC88" s="787">
        <f t="shared" si="43"/>
        <v>0</v>
      </c>
      <c r="AD88" s="787">
        <f t="shared" si="44"/>
        <v>0</v>
      </c>
      <c r="AE88" s="787">
        <f t="shared" si="45"/>
        <v>0</v>
      </c>
      <c r="AF88" s="787">
        <f t="shared" si="46"/>
        <v>0</v>
      </c>
      <c r="AG88" s="787">
        <f t="shared" si="47"/>
        <v>0</v>
      </c>
      <c r="AH88" s="788">
        <f t="shared" si="48"/>
        <v>0</v>
      </c>
      <c r="AI88" s="1883"/>
      <c r="AJ88" s="787">
        <f t="shared" si="49"/>
        <v>0</v>
      </c>
      <c r="AK88" s="787">
        <f t="shared" si="50"/>
        <v>0</v>
      </c>
      <c r="AL88" s="792">
        <f t="shared" si="51"/>
        <v>0</v>
      </c>
      <c r="AM88" s="1884">
        <v>30</v>
      </c>
      <c r="AN88" s="1884">
        <v>10</v>
      </c>
      <c r="AO88" s="1884">
        <v>15</v>
      </c>
      <c r="AP88" s="769"/>
      <c r="AQ88" s="1251"/>
      <c r="AR88" s="1249"/>
      <c r="AS88" s="1249"/>
      <c r="AT88" s="1249"/>
    </row>
    <row r="89" spans="1:46" ht="14.25" customHeight="1">
      <c r="A89" s="601"/>
      <c r="B89" s="2225">
        <v>0.1</v>
      </c>
      <c r="C89" s="2439" t="s">
        <v>496</v>
      </c>
      <c r="D89" s="2440"/>
      <c r="E89" s="639"/>
      <c r="F89" s="640"/>
      <c r="G89" s="641">
        <f t="shared" si="26"/>
        <v>0</v>
      </c>
      <c r="H89" s="661">
        <f t="shared" si="53"/>
        <v>0</v>
      </c>
      <c r="I89" s="642">
        <v>5.5</v>
      </c>
      <c r="J89" s="642">
        <v>1</v>
      </c>
      <c r="K89" s="642">
        <v>0.4</v>
      </c>
      <c r="L89" s="628">
        <v>8</v>
      </c>
      <c r="M89" s="646">
        <v>0.5</v>
      </c>
      <c r="N89" s="117">
        <v>100</v>
      </c>
      <c r="O89" s="117">
        <v>290</v>
      </c>
      <c r="P89" s="117">
        <v>0.03</v>
      </c>
      <c r="Q89" s="117">
        <v>0.6</v>
      </c>
      <c r="R89" s="117">
        <v>0</v>
      </c>
      <c r="S89" s="118">
        <v>0</v>
      </c>
      <c r="T89" s="601"/>
      <c r="U89" s="1151">
        <f t="shared" si="54"/>
        <v>8.0999999999999872</v>
      </c>
      <c r="V89" s="1151">
        <f t="shared" si="55"/>
        <v>229.63094999999964</v>
      </c>
      <c r="W89" s="108"/>
      <c r="X89" s="785">
        <f t="shared" si="38"/>
        <v>0</v>
      </c>
      <c r="Y89" s="786">
        <f t="shared" si="39"/>
        <v>0</v>
      </c>
      <c r="Z89" s="786">
        <f t="shared" si="40"/>
        <v>0</v>
      </c>
      <c r="AA89" s="786">
        <f t="shared" si="41"/>
        <v>0</v>
      </c>
      <c r="AB89" s="786">
        <f t="shared" si="42"/>
        <v>0</v>
      </c>
      <c r="AC89" s="787">
        <f t="shared" si="43"/>
        <v>0</v>
      </c>
      <c r="AD89" s="787">
        <f t="shared" si="44"/>
        <v>0</v>
      </c>
      <c r="AE89" s="787">
        <f t="shared" si="45"/>
        <v>0</v>
      </c>
      <c r="AF89" s="787">
        <f t="shared" si="46"/>
        <v>0</v>
      </c>
      <c r="AG89" s="787">
        <f t="shared" si="47"/>
        <v>0</v>
      </c>
      <c r="AH89" s="788">
        <f t="shared" si="48"/>
        <v>0</v>
      </c>
      <c r="AI89" s="1883" t="s">
        <v>25</v>
      </c>
      <c r="AJ89" s="787">
        <f t="shared" si="49"/>
        <v>0</v>
      </c>
      <c r="AK89" s="787">
        <f t="shared" si="50"/>
        <v>0</v>
      </c>
      <c r="AL89" s="792">
        <f t="shared" si="51"/>
        <v>0</v>
      </c>
      <c r="AM89" s="1138">
        <v>21</v>
      </c>
      <c r="AN89" s="769">
        <v>17</v>
      </c>
      <c r="AO89" s="769">
        <v>27</v>
      </c>
      <c r="AP89" s="769"/>
      <c r="AQ89" s="1251"/>
      <c r="AR89" s="1249"/>
      <c r="AS89" s="1249"/>
      <c r="AT89" s="1249"/>
    </row>
    <row r="90" spans="1:46" ht="14.25" customHeight="1">
      <c r="A90" s="601"/>
      <c r="B90" s="2225">
        <v>0.12</v>
      </c>
      <c r="C90" s="2439" t="s">
        <v>497</v>
      </c>
      <c r="D90" s="2440" t="s">
        <v>444</v>
      </c>
      <c r="E90" s="639"/>
      <c r="F90" s="640"/>
      <c r="G90" s="641">
        <f t="shared" si="26"/>
        <v>0</v>
      </c>
      <c r="H90" s="661">
        <f t="shared" si="53"/>
        <v>0</v>
      </c>
      <c r="I90" s="642">
        <v>9.6999999999999993</v>
      </c>
      <c r="J90" s="645">
        <v>0.95</v>
      </c>
      <c r="K90" s="645">
        <v>0.01</v>
      </c>
      <c r="L90" s="628">
        <v>10.9</v>
      </c>
      <c r="M90" s="644">
        <v>0.9</v>
      </c>
      <c r="N90" s="117">
        <v>140</v>
      </c>
      <c r="O90" s="117">
        <v>170</v>
      </c>
      <c r="P90" s="117">
        <v>0.06</v>
      </c>
      <c r="Q90" s="117">
        <v>0.03</v>
      </c>
      <c r="R90" s="117">
        <v>0.22</v>
      </c>
      <c r="S90" s="118">
        <v>0</v>
      </c>
      <c r="T90" s="601"/>
      <c r="U90" s="1151">
        <f t="shared" si="54"/>
        <v>8.1999999999999869</v>
      </c>
      <c r="V90" s="1151">
        <f t="shared" si="55"/>
        <v>232.46589999999961</v>
      </c>
      <c r="W90" s="108"/>
      <c r="X90" s="785">
        <f t="shared" si="38"/>
        <v>0</v>
      </c>
      <c r="Y90" s="786">
        <f t="shared" si="39"/>
        <v>0</v>
      </c>
      <c r="Z90" s="786">
        <f t="shared" si="40"/>
        <v>0</v>
      </c>
      <c r="AA90" s="786">
        <f t="shared" si="41"/>
        <v>0</v>
      </c>
      <c r="AB90" s="786">
        <f t="shared" si="42"/>
        <v>0</v>
      </c>
      <c r="AC90" s="787">
        <f t="shared" si="43"/>
        <v>0</v>
      </c>
      <c r="AD90" s="787">
        <f t="shared" si="44"/>
        <v>0</v>
      </c>
      <c r="AE90" s="787">
        <f t="shared" si="45"/>
        <v>0</v>
      </c>
      <c r="AF90" s="787">
        <f t="shared" si="46"/>
        <v>0</v>
      </c>
      <c r="AG90" s="787">
        <f t="shared" si="47"/>
        <v>0</v>
      </c>
      <c r="AH90" s="788">
        <f t="shared" si="48"/>
        <v>0</v>
      </c>
      <c r="AI90" s="1883" t="s">
        <v>464</v>
      </c>
      <c r="AJ90" s="787">
        <f t="shared" si="49"/>
        <v>0</v>
      </c>
      <c r="AK90" s="787">
        <f t="shared" si="50"/>
        <v>0</v>
      </c>
      <c r="AL90" s="792">
        <f t="shared" si="51"/>
        <v>0</v>
      </c>
      <c r="AM90" s="1138">
        <v>40</v>
      </c>
      <c r="AN90" s="769">
        <v>10</v>
      </c>
      <c r="AO90" s="769">
        <v>17</v>
      </c>
      <c r="AP90" s="769"/>
      <c r="AQ90" s="1251"/>
      <c r="AR90" s="1249"/>
      <c r="AS90" s="1249"/>
      <c r="AT90" s="1249"/>
    </row>
    <row r="91" spans="1:46" ht="14.25" customHeight="1">
      <c r="A91" s="601"/>
      <c r="B91" s="2225">
        <v>0</v>
      </c>
      <c r="C91" s="2439"/>
      <c r="D91" s="2440" t="s">
        <v>459</v>
      </c>
      <c r="E91" s="639"/>
      <c r="F91" s="640"/>
      <c r="G91" s="641">
        <f>453.6*(E91+F91/16)</f>
        <v>0</v>
      </c>
      <c r="H91" s="661">
        <f t="shared" si="53"/>
        <v>0</v>
      </c>
      <c r="I91" s="642">
        <v>12</v>
      </c>
      <c r="J91" s="642">
        <v>1.3</v>
      </c>
      <c r="K91" s="645">
        <v>0.01</v>
      </c>
      <c r="L91" s="628">
        <v>13</v>
      </c>
      <c r="M91" s="644">
        <v>0.2</v>
      </c>
      <c r="N91" s="117">
        <v>140</v>
      </c>
      <c r="O91" s="117">
        <v>170</v>
      </c>
      <c r="P91" s="117">
        <v>0.06</v>
      </c>
      <c r="Q91" s="117">
        <v>0.1</v>
      </c>
      <c r="R91" s="117">
        <v>0.125</v>
      </c>
      <c r="S91" s="118">
        <v>4.2000000000000003E-2</v>
      </c>
      <c r="T91" s="601"/>
      <c r="U91" s="1151">
        <f t="shared" si="54"/>
        <v>8.2999999999999865</v>
      </c>
      <c r="V91" s="1151">
        <f t="shared" si="55"/>
        <v>235.3008499999996</v>
      </c>
      <c r="W91" s="108"/>
      <c r="X91" s="785">
        <f t="shared" si="38"/>
        <v>0</v>
      </c>
      <c r="Y91" s="786">
        <f t="shared" si="39"/>
        <v>0</v>
      </c>
      <c r="Z91" s="786">
        <f t="shared" si="40"/>
        <v>0</v>
      </c>
      <c r="AA91" s="786">
        <f t="shared" si="41"/>
        <v>0</v>
      </c>
      <c r="AB91" s="786">
        <f t="shared" si="42"/>
        <v>0</v>
      </c>
      <c r="AC91" s="787">
        <f t="shared" si="43"/>
        <v>0</v>
      </c>
      <c r="AD91" s="787">
        <f t="shared" si="44"/>
        <v>0</v>
      </c>
      <c r="AE91" s="787">
        <f t="shared" si="45"/>
        <v>0</v>
      </c>
      <c r="AF91" s="787">
        <f t="shared" si="46"/>
        <v>0</v>
      </c>
      <c r="AG91" s="787">
        <f t="shared" si="47"/>
        <v>0</v>
      </c>
      <c r="AH91" s="788">
        <f t="shared" si="48"/>
        <v>0</v>
      </c>
      <c r="AI91" s="1883" t="s">
        <v>25</v>
      </c>
      <c r="AJ91" s="787">
        <f t="shared" si="49"/>
        <v>0</v>
      </c>
      <c r="AK91" s="787">
        <f t="shared" si="50"/>
        <v>0</v>
      </c>
      <c r="AL91" s="792">
        <f t="shared" si="51"/>
        <v>0</v>
      </c>
      <c r="AM91" s="1138">
        <v>18</v>
      </c>
      <c r="AN91" s="769">
        <v>8</v>
      </c>
      <c r="AO91" s="769">
        <v>14</v>
      </c>
      <c r="AP91" s="769"/>
      <c r="AQ91" s="1251"/>
      <c r="AR91" s="1249"/>
      <c r="AS91" s="1249"/>
      <c r="AT91" s="1249"/>
    </row>
    <row r="92" spans="1:46" ht="14.25" customHeight="1">
      <c r="A92" s="601"/>
      <c r="B92" s="2225">
        <v>0.04</v>
      </c>
      <c r="C92" s="2439" t="s">
        <v>498</v>
      </c>
      <c r="D92" s="2440"/>
      <c r="E92" s="639"/>
      <c r="F92" s="640"/>
      <c r="G92" s="641">
        <f>453.6*(E92+F92/16)</f>
        <v>0</v>
      </c>
      <c r="H92" s="661">
        <f t="shared" si="53"/>
        <v>0</v>
      </c>
      <c r="I92" s="642">
        <v>6.2</v>
      </c>
      <c r="J92" s="642">
        <v>0.2</v>
      </c>
      <c r="K92" s="645">
        <v>0.1</v>
      </c>
      <c r="L92" s="626">
        <v>7.6</v>
      </c>
      <c r="M92" s="644">
        <v>0.5</v>
      </c>
      <c r="N92" s="116">
        <v>140</v>
      </c>
      <c r="O92" s="117">
        <v>110</v>
      </c>
      <c r="P92" s="117">
        <v>3.3000000000000002E-2</v>
      </c>
      <c r="Q92" s="117">
        <v>0.17799999999999999</v>
      </c>
      <c r="R92" s="117">
        <v>0.221</v>
      </c>
      <c r="S92" s="118">
        <v>4.4999999999999998E-2</v>
      </c>
      <c r="T92" s="601"/>
      <c r="U92" s="1151">
        <f t="shared" si="54"/>
        <v>8.3999999999999861</v>
      </c>
      <c r="V92" s="1151">
        <f t="shared" si="55"/>
        <v>238.13579999999959</v>
      </c>
      <c r="W92" s="108"/>
      <c r="X92" s="785">
        <f t="shared" si="38"/>
        <v>0</v>
      </c>
      <c r="Y92" s="786">
        <f t="shared" si="39"/>
        <v>0</v>
      </c>
      <c r="Z92" s="786">
        <f t="shared" si="40"/>
        <v>0</v>
      </c>
      <c r="AA92" s="786">
        <f t="shared" si="41"/>
        <v>0</v>
      </c>
      <c r="AB92" s="786">
        <f t="shared" si="42"/>
        <v>0</v>
      </c>
      <c r="AC92" s="787">
        <f t="shared" si="43"/>
        <v>0</v>
      </c>
      <c r="AD92" s="787">
        <f t="shared" si="44"/>
        <v>0</v>
      </c>
      <c r="AE92" s="787">
        <f t="shared" si="45"/>
        <v>0</v>
      </c>
      <c r="AF92" s="787">
        <f t="shared" si="46"/>
        <v>0</v>
      </c>
      <c r="AG92" s="787">
        <f t="shared" si="47"/>
        <v>0</v>
      </c>
      <c r="AH92" s="788">
        <f t="shared" si="48"/>
        <v>0</v>
      </c>
      <c r="AI92" s="1883"/>
      <c r="AJ92" s="787">
        <f t="shared" si="49"/>
        <v>0</v>
      </c>
      <c r="AK92" s="787">
        <f t="shared" si="50"/>
        <v>0</v>
      </c>
      <c r="AL92" s="792">
        <f t="shared" si="51"/>
        <v>0</v>
      </c>
      <c r="AM92" s="1138">
        <v>7</v>
      </c>
      <c r="AN92" s="769">
        <v>0</v>
      </c>
      <c r="AO92" s="769">
        <v>11</v>
      </c>
      <c r="AP92" s="769"/>
      <c r="AQ92" s="1251"/>
      <c r="AR92" s="1249"/>
      <c r="AS92" s="1249"/>
      <c r="AT92" s="1249"/>
    </row>
    <row r="93" spans="1:46" ht="14.25" customHeight="1">
      <c r="A93" s="601"/>
      <c r="B93" s="637">
        <v>0.17</v>
      </c>
      <c r="C93" s="2437" t="s">
        <v>499</v>
      </c>
      <c r="D93" s="2436"/>
      <c r="E93" s="619"/>
      <c r="F93" s="620"/>
      <c r="G93" s="621">
        <f>453.6*(E93+F93/16)</f>
        <v>0</v>
      </c>
      <c r="H93" s="661">
        <f>B93*G93</f>
        <v>0</v>
      </c>
      <c r="I93" s="624">
        <v>7.37</v>
      </c>
      <c r="J93" s="623">
        <v>2.2000000000000002</v>
      </c>
      <c r="K93" s="623">
        <v>0.1</v>
      </c>
      <c r="L93" s="626">
        <v>13.8</v>
      </c>
      <c r="M93" s="625">
        <v>0.6</v>
      </c>
      <c r="N93" s="215">
        <v>200</v>
      </c>
      <c r="O93" s="215">
        <v>270</v>
      </c>
      <c r="P93" s="215">
        <v>0.04</v>
      </c>
      <c r="Q93" s="215">
        <v>0.1</v>
      </c>
      <c r="R93" s="215">
        <v>6.4000000000000001E-2</v>
      </c>
      <c r="S93" s="216">
        <v>7.0000000000000007E-2</v>
      </c>
      <c r="T93" s="2565"/>
      <c r="U93" s="1151">
        <f t="shared" si="54"/>
        <v>8.4999999999999858</v>
      </c>
      <c r="V93" s="1151">
        <f>U93*28.3495</f>
        <v>240.97074999999958</v>
      </c>
      <c r="W93" s="108"/>
      <c r="X93" s="785">
        <f t="shared" si="38"/>
        <v>0</v>
      </c>
      <c r="Y93" s="786">
        <f t="shared" si="39"/>
        <v>0</v>
      </c>
      <c r="Z93" s="786">
        <f t="shared" si="40"/>
        <v>0</v>
      </c>
      <c r="AA93" s="786">
        <f t="shared" si="41"/>
        <v>0</v>
      </c>
      <c r="AB93" s="786">
        <f t="shared" si="42"/>
        <v>0</v>
      </c>
      <c r="AC93" s="787">
        <f t="shared" si="43"/>
        <v>0</v>
      </c>
      <c r="AD93" s="787">
        <f t="shared" si="44"/>
        <v>0</v>
      </c>
      <c r="AE93" s="787">
        <f t="shared" si="45"/>
        <v>0</v>
      </c>
      <c r="AF93" s="787">
        <f t="shared" si="46"/>
        <v>0</v>
      </c>
      <c r="AG93" s="787">
        <f t="shared" si="47"/>
        <v>0</v>
      </c>
      <c r="AH93" s="788">
        <f t="shared" si="48"/>
        <v>0</v>
      </c>
      <c r="AI93" s="1883"/>
      <c r="AJ93" s="787">
        <f t="shared" si="49"/>
        <v>0</v>
      </c>
      <c r="AK93" s="787">
        <f t="shared" si="50"/>
        <v>0</v>
      </c>
      <c r="AL93" s="792">
        <f t="shared" si="51"/>
        <v>0</v>
      </c>
      <c r="AM93" s="1138">
        <v>33</v>
      </c>
      <c r="AN93" s="769">
        <v>13</v>
      </c>
      <c r="AO93" s="769">
        <v>44</v>
      </c>
      <c r="AP93" s="769"/>
      <c r="AQ93" s="1251"/>
      <c r="AR93" s="1249"/>
      <c r="AS93" s="1249"/>
      <c r="AT93" s="1249"/>
    </row>
    <row r="94" spans="1:46" ht="14.25" customHeight="1">
      <c r="A94" s="601"/>
      <c r="B94" s="637"/>
      <c r="C94" s="2437" t="s">
        <v>148</v>
      </c>
      <c r="D94" s="2436"/>
      <c r="E94" s="619"/>
      <c r="F94" s="620"/>
      <c r="G94" s="621">
        <f>453.6*(E94+F94/16)</f>
        <v>0</v>
      </c>
      <c r="H94" s="661">
        <f>B94*G94</f>
        <v>0</v>
      </c>
      <c r="I94" s="622"/>
      <c r="J94" s="622"/>
      <c r="K94" s="622"/>
      <c r="L94" s="626"/>
      <c r="M94" s="2785"/>
      <c r="N94" s="2786"/>
      <c r="O94" s="2786"/>
      <c r="P94" s="2786"/>
      <c r="Q94" s="2786"/>
      <c r="R94" s="2786"/>
      <c r="S94" s="2787"/>
      <c r="T94" s="2565"/>
      <c r="U94" s="1151">
        <f t="shared" si="54"/>
        <v>8.5999999999999854</v>
      </c>
      <c r="V94" s="1151">
        <f t="shared" si="55"/>
        <v>243.80569999999958</v>
      </c>
      <c r="W94" s="108"/>
      <c r="X94" s="785">
        <f t="shared" si="38"/>
        <v>0</v>
      </c>
      <c r="Y94" s="786">
        <f t="shared" si="39"/>
        <v>0</v>
      </c>
      <c r="Z94" s="786">
        <f t="shared" si="40"/>
        <v>0</v>
      </c>
      <c r="AA94" s="786">
        <f t="shared" si="41"/>
        <v>0</v>
      </c>
      <c r="AB94" s="786">
        <f t="shared" si="42"/>
        <v>0</v>
      </c>
      <c r="AC94" s="787">
        <f t="shared" si="43"/>
        <v>0</v>
      </c>
      <c r="AD94" s="787">
        <f t="shared" si="44"/>
        <v>0</v>
      </c>
      <c r="AE94" s="787">
        <f t="shared" si="45"/>
        <v>0</v>
      </c>
      <c r="AF94" s="787">
        <f t="shared" si="46"/>
        <v>0</v>
      </c>
      <c r="AG94" s="787">
        <f t="shared" si="47"/>
        <v>0</v>
      </c>
      <c r="AH94" s="788">
        <f t="shared" si="48"/>
        <v>0</v>
      </c>
      <c r="AI94" s="1885"/>
      <c r="AJ94" s="787">
        <f t="shared" si="49"/>
        <v>0</v>
      </c>
      <c r="AK94" s="787">
        <f t="shared" si="50"/>
        <v>0</v>
      </c>
      <c r="AL94" s="792">
        <f t="shared" si="51"/>
        <v>0</v>
      </c>
      <c r="AM94" s="1138"/>
      <c r="AN94" s="769"/>
      <c r="AO94" s="769"/>
      <c r="AP94" s="769"/>
      <c r="AQ94" s="1251"/>
      <c r="AR94" s="1249"/>
      <c r="AS94" s="1249"/>
      <c r="AT94" s="1249"/>
    </row>
    <row r="95" spans="1:46" ht="14.25" customHeight="1">
      <c r="A95" s="601"/>
      <c r="B95" s="631"/>
      <c r="C95" s="1886"/>
      <c r="D95" s="1887"/>
      <c r="E95" s="1887"/>
      <c r="F95" s="1887"/>
      <c r="G95" s="655"/>
      <c r="H95" s="2379"/>
      <c r="I95" s="1886"/>
      <c r="J95" s="2379"/>
      <c r="K95" s="2379"/>
      <c r="L95" s="2379"/>
      <c r="M95" s="2379"/>
      <c r="N95" s="2379"/>
      <c r="O95" s="2379"/>
      <c r="P95" s="2379"/>
      <c r="Q95" s="2379"/>
      <c r="R95" s="2379"/>
      <c r="S95" s="219"/>
      <c r="T95" s="2565"/>
      <c r="U95" s="1151">
        <f t="shared" si="54"/>
        <v>8.6999999999999851</v>
      </c>
      <c r="V95" s="1151">
        <f t="shared" si="55"/>
        <v>246.64064999999957</v>
      </c>
      <c r="W95" s="108"/>
      <c r="X95" s="795"/>
      <c r="Y95" s="786"/>
      <c r="Z95" s="786"/>
      <c r="AA95" s="786"/>
      <c r="AB95" s="787"/>
      <c r="AC95" s="787"/>
      <c r="AD95" s="120"/>
      <c r="AE95" s="2464"/>
      <c r="AF95" s="2464"/>
      <c r="AG95" s="121"/>
      <c r="AH95" s="122"/>
      <c r="AI95" s="1885"/>
      <c r="AJ95" s="3954" t="s">
        <v>232</v>
      </c>
      <c r="AK95" s="3954"/>
      <c r="AL95" s="3954"/>
      <c r="AM95" s="3954"/>
      <c r="AN95" s="3954"/>
      <c r="AO95" s="3954"/>
      <c r="AP95" s="3954"/>
      <c r="AQ95" s="1251"/>
      <c r="AR95" s="1249"/>
      <c r="AS95" s="1249"/>
      <c r="AT95" s="1249"/>
    </row>
    <row r="96" spans="1:46" ht="14.25" customHeight="1">
      <c r="A96" s="601"/>
      <c r="B96" s="2170"/>
      <c r="C96" s="4144" t="s">
        <v>1167</v>
      </c>
      <c r="D96" s="4145"/>
      <c r="E96" s="4145"/>
      <c r="F96" s="4145"/>
      <c r="G96" s="4146"/>
      <c r="H96" s="656"/>
      <c r="I96" s="4076" t="s">
        <v>333</v>
      </c>
      <c r="J96" s="4076"/>
      <c r="K96" s="4076" t="s">
        <v>1475</v>
      </c>
      <c r="L96" s="4076"/>
      <c r="M96" s="657">
        <v>122</v>
      </c>
      <c r="N96" s="2379" t="s">
        <v>141</v>
      </c>
      <c r="O96" s="2379"/>
      <c r="P96" s="220"/>
      <c r="Q96" s="221"/>
      <c r="R96" s="221"/>
      <c r="S96" s="219"/>
      <c r="T96" s="658"/>
      <c r="U96" s="1151">
        <f t="shared" si="54"/>
        <v>8.7999999999999847</v>
      </c>
      <c r="V96" s="1151">
        <f t="shared" si="55"/>
        <v>249.47559999999956</v>
      </c>
      <c r="W96" s="108"/>
      <c r="X96" s="795"/>
      <c r="Y96" s="786"/>
      <c r="Z96" s="786"/>
      <c r="AA96" s="786"/>
      <c r="AB96" s="787"/>
      <c r="AC96" s="787"/>
      <c r="AD96" s="120"/>
      <c r="AE96" s="2464"/>
      <c r="AF96" s="2464"/>
      <c r="AG96" s="121"/>
      <c r="AH96" s="122"/>
      <c r="AI96" s="1885"/>
      <c r="AJ96" s="2466"/>
      <c r="AK96" s="2466"/>
      <c r="AL96" s="2466"/>
      <c r="AM96" s="2466"/>
      <c r="AN96" s="2466"/>
      <c r="AO96" s="2466"/>
      <c r="AP96" s="2466"/>
      <c r="AQ96" s="1251"/>
      <c r="AR96" s="1249"/>
      <c r="AS96" s="1249"/>
      <c r="AT96" s="1249"/>
    </row>
    <row r="97" spans="1:46" ht="14.25" customHeight="1">
      <c r="A97" s="601"/>
      <c r="B97" s="2170"/>
      <c r="C97" s="632"/>
      <c r="D97" s="656"/>
      <c r="E97" s="634"/>
      <c r="F97" s="634"/>
      <c r="G97" s="659"/>
      <c r="H97" s="656"/>
      <c r="I97" s="2379"/>
      <c r="J97" s="2379"/>
      <c r="K97" s="4076" t="s">
        <v>1476</v>
      </c>
      <c r="L97" s="4076"/>
      <c r="M97" s="657">
        <v>15</v>
      </c>
      <c r="N97" s="4098" t="str">
        <f>FIXED(100*M97/M96,0)&amp;"g/100g"</f>
        <v>12g/100g</v>
      </c>
      <c r="O97" s="4098"/>
      <c r="P97" s="199"/>
      <c r="Q97" s="2375"/>
      <c r="R97" s="2375"/>
      <c r="S97" s="219"/>
      <c r="T97" s="2526"/>
      <c r="U97" s="1151">
        <f t="shared" si="54"/>
        <v>8.8999999999999844</v>
      </c>
      <c r="V97" s="1151">
        <f t="shared" si="55"/>
        <v>252.31054999999955</v>
      </c>
      <c r="W97" s="108"/>
      <c r="X97" s="795"/>
      <c r="Y97" s="786"/>
      <c r="Z97" s="786"/>
      <c r="AA97" s="786"/>
      <c r="AB97" s="787"/>
      <c r="AC97" s="787"/>
      <c r="AD97" s="120"/>
      <c r="AE97" s="2464"/>
      <c r="AF97" s="2464"/>
      <c r="AG97" s="121"/>
      <c r="AH97" s="122"/>
      <c r="AI97" s="1885"/>
      <c r="AJ97" s="2466"/>
      <c r="AK97" s="2466"/>
      <c r="AL97" s="2466"/>
      <c r="AM97" s="2466"/>
      <c r="AN97" s="2466"/>
      <c r="AO97" s="2466"/>
      <c r="AP97" s="2466"/>
      <c r="AQ97" s="1251"/>
      <c r="AR97" s="1249"/>
      <c r="AS97" s="1249"/>
      <c r="AT97" s="1249"/>
    </row>
    <row r="98" spans="1:46" ht="14.25" customHeight="1">
      <c r="A98" s="601"/>
      <c r="B98" s="631"/>
      <c r="C98" s="632"/>
      <c r="D98" s="656"/>
      <c r="E98" s="634"/>
      <c r="F98" s="634"/>
      <c r="G98" s="659"/>
      <c r="H98" s="656"/>
      <c r="I98" s="2379"/>
      <c r="J98" s="2379"/>
      <c r="K98" s="4076" t="s">
        <v>1477</v>
      </c>
      <c r="L98" s="4076"/>
      <c r="M98" s="657">
        <v>16</v>
      </c>
      <c r="N98" s="4098" t="str">
        <f>FIXED(100*M98/M96,0)&amp;"g/100g"</f>
        <v>13g/100g</v>
      </c>
      <c r="O98" s="4098"/>
      <c r="P98" s="200"/>
      <c r="Q98" s="201"/>
      <c r="R98" s="201"/>
      <c r="S98" s="219"/>
      <c r="T98" s="202"/>
      <c r="U98" s="1151">
        <f t="shared" si="54"/>
        <v>8.999999999999984</v>
      </c>
      <c r="V98" s="1151">
        <f t="shared" si="55"/>
        <v>255.14549999999954</v>
      </c>
      <c r="W98" s="108"/>
      <c r="X98" s="795"/>
      <c r="Y98" s="786"/>
      <c r="Z98" s="786"/>
      <c r="AA98" s="786"/>
      <c r="AB98" s="787"/>
      <c r="AC98" s="787"/>
      <c r="AD98" s="120"/>
      <c r="AE98" s="2464"/>
      <c r="AF98" s="2464"/>
      <c r="AG98" s="121"/>
      <c r="AH98" s="122"/>
      <c r="AI98" s="1885"/>
      <c r="AJ98" s="2466"/>
      <c r="AK98" s="2466"/>
      <c r="AL98" s="2466"/>
      <c r="AM98" s="2466"/>
      <c r="AN98" s="2466"/>
      <c r="AO98" s="2466"/>
      <c r="AP98" s="2466"/>
      <c r="AQ98" s="1251"/>
      <c r="AR98" s="1249"/>
      <c r="AS98" s="1249"/>
      <c r="AT98" s="1249"/>
    </row>
    <row r="99" spans="1:46" ht="14.25" customHeight="1">
      <c r="A99" s="601"/>
      <c r="B99" s="1620" t="s">
        <v>398</v>
      </c>
      <c r="C99" s="632"/>
      <c r="D99" s="634" t="s">
        <v>500</v>
      </c>
      <c r="E99" s="4147" t="s">
        <v>139</v>
      </c>
      <c r="F99" s="4147"/>
      <c r="G99" s="2136" t="s">
        <v>139</v>
      </c>
      <c r="H99" s="634"/>
      <c r="I99" s="615" t="s">
        <v>400</v>
      </c>
      <c r="J99" s="635" t="s">
        <v>140</v>
      </c>
      <c r="K99" s="635" t="s">
        <v>401</v>
      </c>
      <c r="L99" s="635" t="s">
        <v>402</v>
      </c>
      <c r="M99" s="635" t="s">
        <v>403</v>
      </c>
      <c r="N99" s="616" t="s">
        <v>404</v>
      </c>
      <c r="O99" s="615" t="s">
        <v>405</v>
      </c>
      <c r="P99" s="2380" t="s">
        <v>406</v>
      </c>
      <c r="Q99" s="2380" t="s">
        <v>407</v>
      </c>
      <c r="R99" s="2380" t="s">
        <v>408</v>
      </c>
      <c r="S99" s="122" t="s">
        <v>409</v>
      </c>
      <c r="T99" s="2565"/>
      <c r="U99" s="1151">
        <f t="shared" si="54"/>
        <v>9.0999999999999837</v>
      </c>
      <c r="V99" s="1151">
        <f t="shared" si="55"/>
        <v>257.98044999999951</v>
      </c>
      <c r="W99" s="108"/>
      <c r="X99" s="790" t="s">
        <v>400</v>
      </c>
      <c r="Y99" s="635" t="s">
        <v>140</v>
      </c>
      <c r="Z99" s="635" t="s">
        <v>401</v>
      </c>
      <c r="AA99" s="635" t="s">
        <v>402</v>
      </c>
      <c r="AB99" s="635" t="s">
        <v>403</v>
      </c>
      <c r="AC99" s="615" t="s">
        <v>410</v>
      </c>
      <c r="AD99" s="615" t="s">
        <v>411</v>
      </c>
      <c r="AE99" s="2464" t="s">
        <v>406</v>
      </c>
      <c r="AF99" s="2464" t="s">
        <v>407</v>
      </c>
      <c r="AG99" s="2464" t="s">
        <v>408</v>
      </c>
      <c r="AH99" s="122" t="s">
        <v>409</v>
      </c>
      <c r="AI99" s="1881" t="s">
        <v>424</v>
      </c>
      <c r="AJ99" s="615" t="s">
        <v>412</v>
      </c>
      <c r="AK99" s="615" t="s">
        <v>413</v>
      </c>
      <c r="AL99" s="616" t="s">
        <v>414</v>
      </c>
      <c r="AM99" s="769"/>
      <c r="AN99" s="769"/>
      <c r="AO99" s="769"/>
      <c r="AP99" s="769"/>
      <c r="AQ99" s="1251"/>
      <c r="AR99" s="1249"/>
      <c r="AS99" s="1249"/>
      <c r="AT99" s="1249"/>
    </row>
    <row r="100" spans="1:46" ht="14.25" customHeight="1">
      <c r="A100" s="601"/>
      <c r="B100" s="1620" t="s">
        <v>426</v>
      </c>
      <c r="C100" s="660" t="s">
        <v>501</v>
      </c>
      <c r="D100" s="614"/>
      <c r="E100" s="2137" t="s">
        <v>295</v>
      </c>
      <c r="F100" s="2137" t="s">
        <v>23</v>
      </c>
      <c r="G100" s="2136" t="s">
        <v>141</v>
      </c>
      <c r="H100" s="2381"/>
      <c r="I100" s="661" t="s">
        <v>502</v>
      </c>
      <c r="J100" s="615" t="s">
        <v>142</v>
      </c>
      <c r="K100" s="615" t="s">
        <v>142</v>
      </c>
      <c r="L100" s="615" t="s">
        <v>142</v>
      </c>
      <c r="M100" s="616" t="s">
        <v>142</v>
      </c>
      <c r="N100" s="4140" t="s">
        <v>397</v>
      </c>
      <c r="O100" s="4105"/>
      <c r="P100" s="4105"/>
      <c r="Q100" s="4105"/>
      <c r="R100" s="4105"/>
      <c r="S100" s="4141"/>
      <c r="T100" s="2565"/>
      <c r="U100" s="1151">
        <f t="shared" si="54"/>
        <v>9.1999999999999833</v>
      </c>
      <c r="V100" s="1151">
        <f t="shared" si="55"/>
        <v>260.8153999999995</v>
      </c>
      <c r="W100" s="108"/>
      <c r="X100" s="790" t="s">
        <v>141</v>
      </c>
      <c r="Y100" s="615" t="s">
        <v>141</v>
      </c>
      <c r="Z100" s="615" t="s">
        <v>141</v>
      </c>
      <c r="AA100" s="615" t="s">
        <v>141</v>
      </c>
      <c r="AB100" s="615" t="s">
        <v>141</v>
      </c>
      <c r="AC100" s="615" t="s">
        <v>141</v>
      </c>
      <c r="AD100" s="615" t="s">
        <v>141</v>
      </c>
      <c r="AE100" s="615" t="s">
        <v>141</v>
      </c>
      <c r="AF100" s="615" t="s">
        <v>141</v>
      </c>
      <c r="AG100" s="615" t="s">
        <v>141</v>
      </c>
      <c r="AH100" s="791" t="s">
        <v>141</v>
      </c>
      <c r="AI100" s="1881" t="s">
        <v>433</v>
      </c>
      <c r="AJ100" s="615" t="s">
        <v>141</v>
      </c>
      <c r="AK100" s="615" t="s">
        <v>141</v>
      </c>
      <c r="AL100" s="616" t="s">
        <v>141</v>
      </c>
      <c r="AM100" s="1143" t="s">
        <v>412</v>
      </c>
      <c r="AN100" s="1143" t="s">
        <v>413</v>
      </c>
      <c r="AO100" s="1143" t="s">
        <v>415</v>
      </c>
      <c r="AP100" s="769"/>
      <c r="AQ100" s="1251"/>
      <c r="AR100" s="1249"/>
      <c r="AS100" s="1249"/>
      <c r="AT100" s="1249"/>
    </row>
    <row r="101" spans="1:46" ht="14.25" customHeight="1">
      <c r="A101" s="601"/>
      <c r="B101" s="637">
        <v>0.18</v>
      </c>
      <c r="C101" s="2437" t="s">
        <v>503</v>
      </c>
      <c r="D101" s="2435"/>
      <c r="E101" s="662"/>
      <c r="F101" s="663"/>
      <c r="G101" s="621">
        <f>453.6*(E101+F101/16)</f>
        <v>0</v>
      </c>
      <c r="H101" s="661">
        <f t="shared" ref="H101:H120" si="56">B101*G101</f>
        <v>0</v>
      </c>
      <c r="I101" s="622">
        <v>12</v>
      </c>
      <c r="J101" s="622">
        <v>0.5</v>
      </c>
      <c r="K101" s="623">
        <v>0.05</v>
      </c>
      <c r="L101" s="664">
        <f t="shared" ref="L101:L111" si="57">I101*1.1</f>
        <v>13.200000000000001</v>
      </c>
      <c r="M101" s="627">
        <v>0.2</v>
      </c>
      <c r="N101" s="214">
        <v>100</v>
      </c>
      <c r="O101" s="215">
        <v>138</v>
      </c>
      <c r="P101" s="215">
        <v>0.02</v>
      </c>
      <c r="Q101" s="215">
        <v>0.3</v>
      </c>
      <c r="R101" s="215">
        <v>9.6000000000000002E-2</v>
      </c>
      <c r="S101" s="216">
        <v>0.05</v>
      </c>
      <c r="T101" s="2565"/>
      <c r="U101" s="1151">
        <f t="shared" si="54"/>
        <v>9.2999999999999829</v>
      </c>
      <c r="V101" s="1151">
        <f t="shared" si="55"/>
        <v>263.65034999999949</v>
      </c>
      <c r="W101" s="108"/>
      <c r="X101" s="785">
        <f t="shared" ref="X101:X120" si="58">G101*I101/100</f>
        <v>0</v>
      </c>
      <c r="Y101" s="786">
        <f t="shared" ref="Y101:Y120" si="59">G101*J101/100</f>
        <v>0</v>
      </c>
      <c r="Z101" s="786">
        <f t="shared" ref="Z101:Z120" si="60">G101*K101/100</f>
        <v>0</v>
      </c>
      <c r="AA101" s="786">
        <f t="shared" ref="AA101:AA120" si="61">G101*(L101-I101)/100</f>
        <v>0</v>
      </c>
      <c r="AB101" s="786">
        <f t="shared" ref="AB101:AB120" si="62">G101*M101/1200</f>
        <v>0</v>
      </c>
      <c r="AC101" s="787">
        <f t="shared" ref="AC101:AC120" si="63">$G101*N101/100</f>
        <v>0</v>
      </c>
      <c r="AD101" s="787">
        <f t="shared" ref="AD101:AD120" si="64">$G101*O101/100</f>
        <v>0</v>
      </c>
      <c r="AE101" s="787">
        <f t="shared" ref="AE101:AE120" si="65">$G101*P101/100</f>
        <v>0</v>
      </c>
      <c r="AF101" s="787">
        <f t="shared" ref="AF101:AF120" si="66">$G101*Q101/100</f>
        <v>0</v>
      </c>
      <c r="AG101" s="787">
        <f t="shared" ref="AG101:AG120" si="67">$G101*R101/100</f>
        <v>0</v>
      </c>
      <c r="AH101" s="788">
        <f t="shared" ref="AH101:AH120" si="68">$G101*S101/100</f>
        <v>0</v>
      </c>
      <c r="AI101" s="1883" t="s">
        <v>436</v>
      </c>
      <c r="AJ101" s="787">
        <f t="shared" ref="AJ101:AJ120" si="69">$G101*AM101/100</f>
        <v>0</v>
      </c>
      <c r="AK101" s="787">
        <f t="shared" ref="AK101:AK120" si="70">$G101*AN101/100</f>
        <v>0</v>
      </c>
      <c r="AL101" s="792">
        <f t="shared" ref="AL101:AL120" si="71">$G101*AO101/100</f>
        <v>0</v>
      </c>
      <c r="AM101" s="1138">
        <v>11</v>
      </c>
      <c r="AN101" s="769">
        <v>8</v>
      </c>
      <c r="AO101" s="769">
        <v>13</v>
      </c>
      <c r="AP101" s="769"/>
      <c r="AQ101" s="1251"/>
      <c r="AR101" s="1249"/>
      <c r="AS101" s="1249"/>
      <c r="AT101" s="1249"/>
    </row>
    <row r="102" spans="1:46" ht="14.25" customHeight="1">
      <c r="A102" s="601"/>
      <c r="B102" s="637">
        <v>0.15</v>
      </c>
      <c r="C102" s="2437" t="s">
        <v>452</v>
      </c>
      <c r="D102" s="2435"/>
      <c r="E102" s="662"/>
      <c r="F102" s="663"/>
      <c r="G102" s="621">
        <f t="shared" ref="G102:G120" si="72">453.6*(E102+F102/16)</f>
        <v>0</v>
      </c>
      <c r="H102" s="661">
        <f t="shared" si="56"/>
        <v>0</v>
      </c>
      <c r="I102" s="622">
        <v>12</v>
      </c>
      <c r="J102" s="623">
        <v>0.25</v>
      </c>
      <c r="K102" s="623">
        <v>0.05</v>
      </c>
      <c r="L102" s="664">
        <f t="shared" si="57"/>
        <v>13.200000000000001</v>
      </c>
      <c r="M102" s="627">
        <v>0.2</v>
      </c>
      <c r="N102" s="214">
        <v>100</v>
      </c>
      <c r="O102" s="215">
        <v>95</v>
      </c>
      <c r="P102" s="215">
        <v>0.02</v>
      </c>
      <c r="Q102" s="215">
        <v>0.17</v>
      </c>
      <c r="R102" s="215"/>
      <c r="S102" s="216">
        <v>0.04</v>
      </c>
      <c r="T102" s="2565"/>
      <c r="U102" s="1151">
        <f t="shared" si="54"/>
        <v>9.3999999999999826</v>
      </c>
      <c r="V102" s="1151">
        <f t="shared" si="55"/>
        <v>266.48529999999948</v>
      </c>
      <c r="W102" s="108"/>
      <c r="X102" s="785">
        <f t="shared" si="58"/>
        <v>0</v>
      </c>
      <c r="Y102" s="786">
        <f t="shared" si="59"/>
        <v>0</v>
      </c>
      <c r="Z102" s="786">
        <f t="shared" si="60"/>
        <v>0</v>
      </c>
      <c r="AA102" s="786">
        <f t="shared" si="61"/>
        <v>0</v>
      </c>
      <c r="AB102" s="786">
        <f t="shared" si="62"/>
        <v>0</v>
      </c>
      <c r="AC102" s="787">
        <f t="shared" si="63"/>
        <v>0</v>
      </c>
      <c r="AD102" s="787">
        <f t="shared" si="64"/>
        <v>0</v>
      </c>
      <c r="AE102" s="787">
        <f t="shared" si="65"/>
        <v>0</v>
      </c>
      <c r="AF102" s="787">
        <f t="shared" si="66"/>
        <v>0</v>
      </c>
      <c r="AG102" s="787">
        <f t="shared" si="67"/>
        <v>0</v>
      </c>
      <c r="AH102" s="788">
        <f t="shared" si="68"/>
        <v>0</v>
      </c>
      <c r="AI102" s="1883" t="s">
        <v>436</v>
      </c>
      <c r="AJ102" s="787">
        <f t="shared" si="69"/>
        <v>0</v>
      </c>
      <c r="AK102" s="787">
        <f t="shared" si="70"/>
        <v>0</v>
      </c>
      <c r="AL102" s="792">
        <f t="shared" si="71"/>
        <v>0</v>
      </c>
      <c r="AM102" s="1138">
        <v>10</v>
      </c>
      <c r="AN102" s="769">
        <v>6</v>
      </c>
      <c r="AO102" s="769">
        <v>10</v>
      </c>
      <c r="AP102" s="769"/>
      <c r="AQ102" s="1251"/>
      <c r="AR102" s="1249"/>
      <c r="AS102" s="1249"/>
      <c r="AT102" s="1249"/>
    </row>
    <row r="103" spans="1:46" ht="14.25" customHeight="1">
      <c r="A103" s="601"/>
      <c r="B103" s="637">
        <v>0.24</v>
      </c>
      <c r="C103" s="2437" t="s">
        <v>504</v>
      </c>
      <c r="D103" s="2435"/>
      <c r="E103" s="662"/>
      <c r="F103" s="663"/>
      <c r="G103" s="621">
        <f t="shared" si="72"/>
        <v>0</v>
      </c>
      <c r="H103" s="661">
        <f t="shared" si="56"/>
        <v>0</v>
      </c>
      <c r="I103" s="623">
        <v>13</v>
      </c>
      <c r="J103" s="623">
        <v>0.4</v>
      </c>
      <c r="K103" s="623">
        <v>0.05</v>
      </c>
      <c r="L103" s="664">
        <f t="shared" si="57"/>
        <v>14.3</v>
      </c>
      <c r="M103" s="627">
        <v>0.2</v>
      </c>
      <c r="N103" s="214">
        <v>100</v>
      </c>
      <c r="O103" s="215">
        <v>80</v>
      </c>
      <c r="P103" s="215">
        <v>1.4E-2</v>
      </c>
      <c r="Q103" s="215">
        <v>0.02</v>
      </c>
      <c r="R103" s="215">
        <v>5.2999999999999999E-2</v>
      </c>
      <c r="S103" s="216">
        <v>3.2000000000000001E-2</v>
      </c>
      <c r="T103" s="2565"/>
      <c r="U103" s="1151">
        <f t="shared" si="54"/>
        <v>9.4999999999999822</v>
      </c>
      <c r="V103" s="1151">
        <f t="shared" si="55"/>
        <v>269.32024999999948</v>
      </c>
      <c r="W103" s="108"/>
      <c r="X103" s="785">
        <f t="shared" si="58"/>
        <v>0</v>
      </c>
      <c r="Y103" s="786">
        <f t="shared" si="59"/>
        <v>0</v>
      </c>
      <c r="Z103" s="786">
        <f t="shared" si="60"/>
        <v>0</v>
      </c>
      <c r="AA103" s="786">
        <f t="shared" si="61"/>
        <v>0</v>
      </c>
      <c r="AB103" s="786">
        <f t="shared" si="62"/>
        <v>0</v>
      </c>
      <c r="AC103" s="787">
        <f t="shared" si="63"/>
        <v>0</v>
      </c>
      <c r="AD103" s="787">
        <f t="shared" si="64"/>
        <v>0</v>
      </c>
      <c r="AE103" s="787">
        <f t="shared" si="65"/>
        <v>0</v>
      </c>
      <c r="AF103" s="787">
        <f t="shared" si="66"/>
        <v>0</v>
      </c>
      <c r="AG103" s="787">
        <f t="shared" si="67"/>
        <v>0</v>
      </c>
      <c r="AH103" s="788">
        <f t="shared" si="68"/>
        <v>0</v>
      </c>
      <c r="AI103" s="1883"/>
      <c r="AJ103" s="787">
        <f t="shared" si="69"/>
        <v>0</v>
      </c>
      <c r="AK103" s="787">
        <f t="shared" si="70"/>
        <v>0</v>
      </c>
      <c r="AL103" s="792">
        <f t="shared" si="71"/>
        <v>0</v>
      </c>
      <c r="AM103" s="1138">
        <v>7</v>
      </c>
      <c r="AN103" s="769">
        <v>5</v>
      </c>
      <c r="AO103" s="769">
        <v>9</v>
      </c>
      <c r="AP103" s="769"/>
      <c r="AQ103" s="1251"/>
      <c r="AR103" s="1249"/>
      <c r="AS103" s="1249"/>
      <c r="AT103" s="1249"/>
    </row>
    <row r="104" spans="1:46" ht="14.25" customHeight="1">
      <c r="A104" s="601"/>
      <c r="B104" s="637">
        <v>0.2</v>
      </c>
      <c r="C104" s="2437" t="s">
        <v>461</v>
      </c>
      <c r="D104" s="2435"/>
      <c r="E104" s="662"/>
      <c r="F104" s="663"/>
      <c r="G104" s="621">
        <f t="shared" si="72"/>
        <v>0</v>
      </c>
      <c r="H104" s="661">
        <f t="shared" si="56"/>
        <v>0</v>
      </c>
      <c r="I104" s="622">
        <v>22</v>
      </c>
      <c r="J104" s="623">
        <v>0.7</v>
      </c>
      <c r="K104" s="623">
        <v>0.05</v>
      </c>
      <c r="L104" s="664">
        <f t="shared" si="57"/>
        <v>24.200000000000003</v>
      </c>
      <c r="M104" s="627">
        <v>0.2</v>
      </c>
      <c r="N104" s="214">
        <v>100</v>
      </c>
      <c r="O104" s="215">
        <v>77</v>
      </c>
      <c r="P104" s="215">
        <v>0.02</v>
      </c>
      <c r="Q104" s="215">
        <v>0.153</v>
      </c>
      <c r="R104" s="215">
        <v>0.13800000000000001</v>
      </c>
      <c r="S104" s="216">
        <v>1.2E-2</v>
      </c>
      <c r="T104" s="2565"/>
      <c r="U104" s="1151">
        <f t="shared" si="54"/>
        <v>9.5999999999999819</v>
      </c>
      <c r="V104" s="1151">
        <f t="shared" si="55"/>
        <v>272.15519999999947</v>
      </c>
      <c r="W104" s="108"/>
      <c r="X104" s="785">
        <f t="shared" si="58"/>
        <v>0</v>
      </c>
      <c r="Y104" s="786">
        <f t="shared" si="59"/>
        <v>0</v>
      </c>
      <c r="Z104" s="786">
        <f t="shared" si="60"/>
        <v>0</v>
      </c>
      <c r="AA104" s="786">
        <f t="shared" si="61"/>
        <v>0</v>
      </c>
      <c r="AB104" s="786">
        <f t="shared" si="62"/>
        <v>0</v>
      </c>
      <c r="AC104" s="787">
        <f t="shared" si="63"/>
        <v>0</v>
      </c>
      <c r="AD104" s="787">
        <f t="shared" si="64"/>
        <v>0</v>
      </c>
      <c r="AE104" s="787">
        <f t="shared" si="65"/>
        <v>0</v>
      </c>
      <c r="AF104" s="787">
        <f t="shared" si="66"/>
        <v>0</v>
      </c>
      <c r="AG104" s="787">
        <f t="shared" si="67"/>
        <v>0</v>
      </c>
      <c r="AH104" s="788">
        <f t="shared" si="68"/>
        <v>0</v>
      </c>
      <c r="AI104" s="1883" t="s">
        <v>449</v>
      </c>
      <c r="AJ104" s="787">
        <f t="shared" si="69"/>
        <v>0</v>
      </c>
      <c r="AK104" s="787">
        <f t="shared" si="70"/>
        <v>0</v>
      </c>
      <c r="AL104" s="792">
        <f t="shared" si="71"/>
        <v>0</v>
      </c>
      <c r="AM104" s="1138">
        <v>16</v>
      </c>
      <c r="AN104" s="769">
        <v>6</v>
      </c>
      <c r="AO104" s="769">
        <v>7</v>
      </c>
      <c r="AP104" s="769"/>
      <c r="AQ104" s="1251"/>
      <c r="AR104" s="1249"/>
      <c r="AS104" s="1249"/>
      <c r="AT104" s="1249"/>
    </row>
    <row r="105" spans="1:46" ht="14.25" customHeight="1">
      <c r="A105" s="601"/>
      <c r="B105" s="637">
        <v>0.1</v>
      </c>
      <c r="C105" s="2437" t="s">
        <v>470</v>
      </c>
      <c r="D105" s="2436"/>
      <c r="E105" s="662"/>
      <c r="F105" s="663"/>
      <c r="G105" s="621">
        <f t="shared" si="72"/>
        <v>0</v>
      </c>
      <c r="H105" s="661">
        <f t="shared" si="56"/>
        <v>0</v>
      </c>
      <c r="I105" s="624">
        <v>8.8000000000000007</v>
      </c>
      <c r="J105" s="623">
        <v>0.7</v>
      </c>
      <c r="K105" s="623">
        <v>0.05</v>
      </c>
      <c r="L105" s="664">
        <f t="shared" si="57"/>
        <v>9.6800000000000015</v>
      </c>
      <c r="M105" s="627">
        <v>0.2</v>
      </c>
      <c r="N105" s="214">
        <v>100</v>
      </c>
      <c r="O105" s="215">
        <v>129</v>
      </c>
      <c r="P105" s="215">
        <v>3.7999999999999999E-2</v>
      </c>
      <c r="Q105" s="215">
        <v>0.24299999999999999</v>
      </c>
      <c r="R105" s="215">
        <v>0.12</v>
      </c>
      <c r="S105" s="216">
        <v>0.02</v>
      </c>
      <c r="T105" s="2565"/>
      <c r="U105" s="1151">
        <f t="shared" si="54"/>
        <v>9.6999999999999815</v>
      </c>
      <c r="V105" s="1151">
        <f>U105*28.3495</f>
        <v>274.99014999999946</v>
      </c>
      <c r="W105" s="108"/>
      <c r="X105" s="785">
        <f t="shared" si="58"/>
        <v>0</v>
      </c>
      <c r="Y105" s="786">
        <f t="shared" si="59"/>
        <v>0</v>
      </c>
      <c r="Z105" s="786">
        <f t="shared" si="60"/>
        <v>0</v>
      </c>
      <c r="AA105" s="786">
        <f t="shared" si="61"/>
        <v>0</v>
      </c>
      <c r="AB105" s="786">
        <f t="shared" si="62"/>
        <v>0</v>
      </c>
      <c r="AC105" s="787">
        <f t="shared" si="63"/>
        <v>0</v>
      </c>
      <c r="AD105" s="787">
        <f t="shared" si="64"/>
        <v>0</v>
      </c>
      <c r="AE105" s="787">
        <f t="shared" si="65"/>
        <v>0</v>
      </c>
      <c r="AF105" s="787">
        <f t="shared" si="66"/>
        <v>0</v>
      </c>
      <c r="AG105" s="787">
        <f t="shared" si="67"/>
        <v>0</v>
      </c>
      <c r="AH105" s="788">
        <f t="shared" si="68"/>
        <v>0</v>
      </c>
      <c r="AI105" s="1883" t="s">
        <v>25</v>
      </c>
      <c r="AJ105" s="787">
        <f t="shared" si="69"/>
        <v>0</v>
      </c>
      <c r="AK105" s="787">
        <f t="shared" si="70"/>
        <v>0</v>
      </c>
      <c r="AL105" s="792">
        <f t="shared" si="71"/>
        <v>0</v>
      </c>
      <c r="AM105" s="1138">
        <v>14</v>
      </c>
      <c r="AN105" s="769">
        <v>10</v>
      </c>
      <c r="AO105" s="769">
        <v>10</v>
      </c>
      <c r="AP105" s="769"/>
      <c r="AQ105" s="1251"/>
      <c r="AR105" s="1249"/>
      <c r="AS105" s="1249"/>
      <c r="AT105" s="1249"/>
    </row>
    <row r="106" spans="1:46" ht="14.25" customHeight="1">
      <c r="A106" s="601"/>
      <c r="B106" s="637">
        <v>0.15</v>
      </c>
      <c r="C106" s="2437" t="s">
        <v>505</v>
      </c>
      <c r="D106" s="2436"/>
      <c r="E106" s="662"/>
      <c r="F106" s="663"/>
      <c r="G106" s="621">
        <f t="shared" si="72"/>
        <v>0</v>
      </c>
      <c r="H106" s="661">
        <f t="shared" si="56"/>
        <v>0</v>
      </c>
      <c r="I106" s="622">
        <v>10.4</v>
      </c>
      <c r="J106" s="623">
        <v>0.2</v>
      </c>
      <c r="K106" s="623">
        <v>0.05</v>
      </c>
      <c r="L106" s="664">
        <f t="shared" si="57"/>
        <v>11.440000000000001</v>
      </c>
      <c r="M106" s="627">
        <v>0.2</v>
      </c>
      <c r="N106" s="214">
        <v>100</v>
      </c>
      <c r="O106" s="215">
        <v>148</v>
      </c>
      <c r="P106" s="215">
        <v>2.1000000000000001E-2</v>
      </c>
      <c r="Q106" s="215">
        <v>0.40300000000000002</v>
      </c>
      <c r="R106" s="215">
        <v>0.127</v>
      </c>
      <c r="S106" s="216">
        <v>0.03</v>
      </c>
      <c r="T106" s="2565"/>
      <c r="U106" s="1151">
        <f t="shared" si="54"/>
        <v>9.7999999999999812</v>
      </c>
      <c r="V106" s="1151">
        <f t="shared" si="55"/>
        <v>277.82509999999945</v>
      </c>
      <c r="W106" s="108"/>
      <c r="X106" s="785">
        <f t="shared" si="58"/>
        <v>0</v>
      </c>
      <c r="Y106" s="786">
        <f t="shared" si="59"/>
        <v>0</v>
      </c>
      <c r="Z106" s="786">
        <f t="shared" si="60"/>
        <v>0</v>
      </c>
      <c r="AA106" s="786">
        <f t="shared" si="61"/>
        <v>0</v>
      </c>
      <c r="AB106" s="786">
        <f t="shared" si="62"/>
        <v>0</v>
      </c>
      <c r="AC106" s="787">
        <f t="shared" si="63"/>
        <v>0</v>
      </c>
      <c r="AD106" s="787">
        <f t="shared" si="64"/>
        <v>0</v>
      </c>
      <c r="AE106" s="787">
        <f t="shared" si="65"/>
        <v>0</v>
      </c>
      <c r="AF106" s="787">
        <f t="shared" si="66"/>
        <v>0</v>
      </c>
      <c r="AG106" s="787">
        <f t="shared" si="67"/>
        <v>0</v>
      </c>
      <c r="AH106" s="788">
        <f t="shared" si="68"/>
        <v>0</v>
      </c>
      <c r="AI106" s="1883" t="s">
        <v>25</v>
      </c>
      <c r="AJ106" s="787">
        <f t="shared" si="69"/>
        <v>0</v>
      </c>
      <c r="AK106" s="787">
        <f t="shared" si="70"/>
        <v>0</v>
      </c>
      <c r="AL106" s="792">
        <f t="shared" si="71"/>
        <v>0</v>
      </c>
      <c r="AM106" s="1138">
        <v>9</v>
      </c>
      <c r="AN106" s="769">
        <v>9</v>
      </c>
      <c r="AO106" s="769">
        <v>18</v>
      </c>
      <c r="AP106" s="769"/>
      <c r="AQ106" s="1251"/>
      <c r="AR106" s="1249"/>
      <c r="AS106" s="1249"/>
      <c r="AT106" s="1249"/>
    </row>
    <row r="107" spans="1:46" ht="14.25" customHeight="1">
      <c r="A107" s="601"/>
      <c r="B107" s="637">
        <v>0.1</v>
      </c>
      <c r="C107" s="2437" t="s">
        <v>475</v>
      </c>
      <c r="D107" s="2436"/>
      <c r="E107" s="662"/>
      <c r="F107" s="663"/>
      <c r="G107" s="621">
        <f t="shared" si="72"/>
        <v>0</v>
      </c>
      <c r="H107" s="661">
        <f t="shared" si="56"/>
        <v>0</v>
      </c>
      <c r="I107" s="622">
        <v>19</v>
      </c>
      <c r="J107" s="623">
        <v>0.15</v>
      </c>
      <c r="K107" s="623">
        <v>0.05</v>
      </c>
      <c r="L107" s="665">
        <f t="shared" si="57"/>
        <v>20.900000000000002</v>
      </c>
      <c r="M107" s="627">
        <v>0.2</v>
      </c>
      <c r="N107" s="214">
        <v>100</v>
      </c>
      <c r="O107" s="214">
        <v>30</v>
      </c>
      <c r="P107" s="214">
        <v>0.01</v>
      </c>
      <c r="Q107" s="214">
        <v>0.15</v>
      </c>
      <c r="R107" s="214">
        <v>0.1</v>
      </c>
      <c r="S107" s="218">
        <v>0.01</v>
      </c>
      <c r="T107" s="2565"/>
      <c r="U107" s="1151">
        <f t="shared" si="54"/>
        <v>9.8999999999999808</v>
      </c>
      <c r="V107" s="1151">
        <f t="shared" si="55"/>
        <v>280.66004999999944</v>
      </c>
      <c r="W107" s="108"/>
      <c r="X107" s="785">
        <f t="shared" si="58"/>
        <v>0</v>
      </c>
      <c r="Y107" s="786">
        <f t="shared" si="59"/>
        <v>0</v>
      </c>
      <c r="Z107" s="786">
        <f t="shared" si="60"/>
        <v>0</v>
      </c>
      <c r="AA107" s="786">
        <f t="shared" si="61"/>
        <v>0</v>
      </c>
      <c r="AB107" s="786">
        <f t="shared" si="62"/>
        <v>0</v>
      </c>
      <c r="AC107" s="787">
        <f t="shared" si="63"/>
        <v>0</v>
      </c>
      <c r="AD107" s="787">
        <f t="shared" si="64"/>
        <v>0</v>
      </c>
      <c r="AE107" s="787">
        <f t="shared" si="65"/>
        <v>0</v>
      </c>
      <c r="AF107" s="787">
        <f t="shared" si="66"/>
        <v>0</v>
      </c>
      <c r="AG107" s="787">
        <f t="shared" si="67"/>
        <v>0</v>
      </c>
      <c r="AH107" s="788">
        <f t="shared" si="68"/>
        <v>0</v>
      </c>
      <c r="AI107" s="1883"/>
      <c r="AJ107" s="787">
        <f t="shared" si="69"/>
        <v>0</v>
      </c>
      <c r="AK107" s="787">
        <f t="shared" si="70"/>
        <v>0</v>
      </c>
      <c r="AL107" s="792">
        <f t="shared" si="71"/>
        <v>0</v>
      </c>
      <c r="AM107" s="1884">
        <v>10</v>
      </c>
      <c r="AN107" s="1884">
        <v>10</v>
      </c>
      <c r="AO107" s="1884">
        <v>8</v>
      </c>
      <c r="AP107" s="769"/>
      <c r="AQ107" s="1251"/>
      <c r="AR107" s="1249"/>
      <c r="AS107" s="1249"/>
      <c r="AT107" s="1249"/>
    </row>
    <row r="108" spans="1:46" ht="14.25" customHeight="1">
      <c r="A108" s="601"/>
      <c r="B108" s="637">
        <v>0.2</v>
      </c>
      <c r="C108" s="2437" t="s">
        <v>477</v>
      </c>
      <c r="D108" s="2436"/>
      <c r="E108" s="662"/>
      <c r="F108" s="663"/>
      <c r="G108" s="621">
        <f t="shared" si="72"/>
        <v>0</v>
      </c>
      <c r="H108" s="661">
        <f t="shared" si="56"/>
        <v>0</v>
      </c>
      <c r="I108" s="622">
        <v>20</v>
      </c>
      <c r="J108" s="623">
        <v>0.25</v>
      </c>
      <c r="K108" s="623">
        <v>0.05</v>
      </c>
      <c r="L108" s="665">
        <f t="shared" si="57"/>
        <v>22</v>
      </c>
      <c r="M108" s="627">
        <v>0.2</v>
      </c>
      <c r="N108" s="214">
        <v>100</v>
      </c>
      <c r="O108" s="215">
        <v>48</v>
      </c>
      <c r="P108" s="215">
        <v>5.3999999999999999E-2</v>
      </c>
      <c r="Q108" s="215">
        <v>0.28599999999999998</v>
      </c>
      <c r="R108" s="215">
        <v>3.2000000000000001E-2</v>
      </c>
      <c r="S108" s="216">
        <v>1.7999999999999999E-2</v>
      </c>
      <c r="T108" s="2565"/>
      <c r="U108" s="1151">
        <f t="shared" si="54"/>
        <v>9.9999999999999805</v>
      </c>
      <c r="V108" s="1151">
        <f t="shared" si="55"/>
        <v>283.49499999999944</v>
      </c>
      <c r="W108" s="108"/>
      <c r="X108" s="785">
        <f t="shared" si="58"/>
        <v>0</v>
      </c>
      <c r="Y108" s="786">
        <f t="shared" si="59"/>
        <v>0</v>
      </c>
      <c r="Z108" s="786">
        <f t="shared" si="60"/>
        <v>0</v>
      </c>
      <c r="AA108" s="786">
        <f t="shared" si="61"/>
        <v>0</v>
      </c>
      <c r="AB108" s="786">
        <f t="shared" si="62"/>
        <v>0</v>
      </c>
      <c r="AC108" s="787">
        <f t="shared" si="63"/>
        <v>0</v>
      </c>
      <c r="AD108" s="787">
        <f t="shared" si="64"/>
        <v>0</v>
      </c>
      <c r="AE108" s="787">
        <f t="shared" si="65"/>
        <v>0</v>
      </c>
      <c r="AF108" s="787">
        <f t="shared" si="66"/>
        <v>0</v>
      </c>
      <c r="AG108" s="787">
        <f t="shared" si="67"/>
        <v>0</v>
      </c>
      <c r="AH108" s="788">
        <f t="shared" si="68"/>
        <v>0</v>
      </c>
      <c r="AI108" s="1883"/>
      <c r="AJ108" s="787">
        <f t="shared" si="69"/>
        <v>0</v>
      </c>
      <c r="AK108" s="787">
        <f t="shared" si="70"/>
        <v>0</v>
      </c>
      <c r="AL108" s="792">
        <f t="shared" si="71"/>
        <v>0</v>
      </c>
      <c r="AM108" s="1138">
        <v>12</v>
      </c>
      <c r="AN108" s="769">
        <v>13</v>
      </c>
      <c r="AO108" s="769">
        <v>8</v>
      </c>
      <c r="AP108" s="769"/>
      <c r="AQ108" s="1251"/>
      <c r="AR108" s="1249"/>
      <c r="AS108" s="1249"/>
      <c r="AT108" s="1249"/>
    </row>
    <row r="109" spans="1:46" ht="14.25" customHeight="1">
      <c r="A109" s="601"/>
      <c r="B109" s="637">
        <v>0.14000000000000001</v>
      </c>
      <c r="C109" s="2437" t="s">
        <v>482</v>
      </c>
      <c r="D109" s="2436"/>
      <c r="E109" s="662"/>
      <c r="F109" s="663"/>
      <c r="G109" s="621">
        <f t="shared" si="72"/>
        <v>0</v>
      </c>
      <c r="H109" s="661">
        <f t="shared" si="56"/>
        <v>0</v>
      </c>
      <c r="I109" s="622">
        <v>19</v>
      </c>
      <c r="J109" s="623">
        <v>0.5</v>
      </c>
      <c r="K109" s="623">
        <v>0.05</v>
      </c>
      <c r="L109" s="665">
        <f t="shared" si="57"/>
        <v>20.900000000000002</v>
      </c>
      <c r="M109" s="627">
        <v>0.2</v>
      </c>
      <c r="N109" s="214">
        <v>100</v>
      </c>
      <c r="O109" s="214">
        <v>170</v>
      </c>
      <c r="P109" s="214">
        <v>5.2999999999999999E-2</v>
      </c>
      <c r="Q109" s="214">
        <v>0.44600000000000001</v>
      </c>
      <c r="R109" s="214">
        <v>0.125</v>
      </c>
      <c r="S109" s="218">
        <v>4.2000000000000003E-2</v>
      </c>
      <c r="T109" s="2565"/>
      <c r="U109" s="1151">
        <f t="shared" si="54"/>
        <v>10.09999999999998</v>
      </c>
      <c r="V109" s="1151">
        <f t="shared" si="55"/>
        <v>286.32994999999943</v>
      </c>
      <c r="W109" s="108"/>
      <c r="X109" s="785">
        <f t="shared" si="58"/>
        <v>0</v>
      </c>
      <c r="Y109" s="786">
        <f t="shared" si="59"/>
        <v>0</v>
      </c>
      <c r="Z109" s="786">
        <f t="shared" si="60"/>
        <v>0</v>
      </c>
      <c r="AA109" s="786">
        <f t="shared" si="61"/>
        <v>0</v>
      </c>
      <c r="AB109" s="786">
        <f t="shared" si="62"/>
        <v>0</v>
      </c>
      <c r="AC109" s="787">
        <f t="shared" si="63"/>
        <v>0</v>
      </c>
      <c r="AD109" s="787">
        <f t="shared" si="64"/>
        <v>0</v>
      </c>
      <c r="AE109" s="787">
        <f t="shared" si="65"/>
        <v>0</v>
      </c>
      <c r="AF109" s="787">
        <f t="shared" si="66"/>
        <v>0</v>
      </c>
      <c r="AG109" s="787">
        <f t="shared" si="67"/>
        <v>0</v>
      </c>
      <c r="AH109" s="788">
        <f t="shared" si="68"/>
        <v>0</v>
      </c>
      <c r="AI109" s="1883" t="s">
        <v>25</v>
      </c>
      <c r="AJ109" s="787">
        <f t="shared" si="69"/>
        <v>0</v>
      </c>
      <c r="AK109" s="787">
        <f t="shared" si="70"/>
        <v>0</v>
      </c>
      <c r="AL109" s="792">
        <f t="shared" si="71"/>
        <v>0</v>
      </c>
      <c r="AM109" s="1138">
        <v>18</v>
      </c>
      <c r="AN109" s="1884">
        <v>8</v>
      </c>
      <c r="AO109" s="1884">
        <v>14</v>
      </c>
      <c r="AP109" s="769"/>
      <c r="AQ109" s="1251"/>
      <c r="AR109" s="1249"/>
      <c r="AS109" s="1249"/>
      <c r="AT109" s="1249"/>
    </row>
    <row r="110" spans="1:46" ht="14.25" customHeight="1">
      <c r="A110" s="601"/>
      <c r="B110" s="637">
        <v>0.25</v>
      </c>
      <c r="C110" s="2437" t="s">
        <v>483</v>
      </c>
      <c r="D110" s="2436"/>
      <c r="E110" s="662"/>
      <c r="F110" s="663"/>
      <c r="G110" s="621">
        <f t="shared" si="72"/>
        <v>0</v>
      </c>
      <c r="H110" s="661">
        <f t="shared" si="56"/>
        <v>0</v>
      </c>
      <c r="I110" s="622">
        <v>15</v>
      </c>
      <c r="J110" s="623">
        <v>0.1</v>
      </c>
      <c r="K110" s="623">
        <v>0.05</v>
      </c>
      <c r="L110" s="665">
        <f t="shared" si="57"/>
        <v>16.5</v>
      </c>
      <c r="M110" s="627">
        <v>0.2</v>
      </c>
      <c r="N110" s="214">
        <v>100</v>
      </c>
      <c r="O110" s="215">
        <v>31</v>
      </c>
      <c r="P110" s="215">
        <v>0.01</v>
      </c>
      <c r="Q110" s="215">
        <v>0.15</v>
      </c>
      <c r="R110" s="215"/>
      <c r="S110" s="216">
        <v>0.01</v>
      </c>
      <c r="T110" s="2565"/>
      <c r="U110" s="1151">
        <f t="shared" si="54"/>
        <v>10.19999999999998</v>
      </c>
      <c r="V110" s="1151">
        <f t="shared" si="55"/>
        <v>289.16489999999942</v>
      </c>
      <c r="W110" s="108"/>
      <c r="X110" s="785">
        <f t="shared" si="58"/>
        <v>0</v>
      </c>
      <c r="Y110" s="786">
        <f t="shared" si="59"/>
        <v>0</v>
      </c>
      <c r="Z110" s="786">
        <f t="shared" si="60"/>
        <v>0</v>
      </c>
      <c r="AA110" s="786">
        <f t="shared" si="61"/>
        <v>0</v>
      </c>
      <c r="AB110" s="786">
        <f t="shared" si="62"/>
        <v>0</v>
      </c>
      <c r="AC110" s="787">
        <f t="shared" si="63"/>
        <v>0</v>
      </c>
      <c r="AD110" s="787">
        <f t="shared" si="64"/>
        <v>0</v>
      </c>
      <c r="AE110" s="787">
        <f t="shared" si="65"/>
        <v>0</v>
      </c>
      <c r="AF110" s="787">
        <f t="shared" si="66"/>
        <v>0</v>
      </c>
      <c r="AG110" s="787">
        <f t="shared" si="67"/>
        <v>0</v>
      </c>
      <c r="AH110" s="788">
        <f t="shared" si="68"/>
        <v>0</v>
      </c>
      <c r="AI110" s="1883"/>
      <c r="AJ110" s="787">
        <f t="shared" si="69"/>
        <v>0</v>
      </c>
      <c r="AK110" s="787">
        <f t="shared" si="70"/>
        <v>0</v>
      </c>
      <c r="AL110" s="792">
        <f t="shared" si="71"/>
        <v>0</v>
      </c>
      <c r="AM110" s="1138">
        <v>10</v>
      </c>
      <c r="AN110" s="769">
        <v>3</v>
      </c>
      <c r="AO110" s="769">
        <v>0</v>
      </c>
      <c r="AP110" s="769"/>
      <c r="AQ110" s="1251"/>
      <c r="AR110" s="1249"/>
      <c r="AS110" s="1249"/>
      <c r="AT110" s="1249"/>
    </row>
    <row r="111" spans="1:46" ht="14.25" customHeight="1">
      <c r="A111" s="601"/>
      <c r="B111" s="637">
        <v>0.18</v>
      </c>
      <c r="C111" s="2437" t="s">
        <v>506</v>
      </c>
      <c r="D111" s="2436"/>
      <c r="E111" s="662"/>
      <c r="F111" s="663"/>
      <c r="G111" s="621">
        <f t="shared" si="72"/>
        <v>0</v>
      </c>
      <c r="H111" s="661">
        <f t="shared" si="56"/>
        <v>0</v>
      </c>
      <c r="I111" s="622">
        <v>14</v>
      </c>
      <c r="J111" s="624">
        <v>0.3</v>
      </c>
      <c r="K111" s="623">
        <v>0.05</v>
      </c>
      <c r="L111" s="665">
        <f t="shared" si="57"/>
        <v>15.400000000000002</v>
      </c>
      <c r="M111" s="627">
        <v>0.2</v>
      </c>
      <c r="N111" s="214">
        <v>100</v>
      </c>
      <c r="O111" s="215">
        <v>140</v>
      </c>
      <c r="P111" s="215">
        <v>8.9999999999999993E-3</v>
      </c>
      <c r="Q111" s="215">
        <v>0.59299999999999997</v>
      </c>
      <c r="R111" s="215">
        <v>0.05</v>
      </c>
      <c r="S111" s="216">
        <v>1.9E-2</v>
      </c>
      <c r="T111" s="2565"/>
      <c r="U111" s="1151">
        <f t="shared" si="54"/>
        <v>10.299999999999979</v>
      </c>
      <c r="V111" s="1151">
        <f t="shared" si="55"/>
        <v>291.99984999999941</v>
      </c>
      <c r="W111" s="108"/>
      <c r="X111" s="785">
        <f t="shared" si="58"/>
        <v>0</v>
      </c>
      <c r="Y111" s="786">
        <f t="shared" si="59"/>
        <v>0</v>
      </c>
      <c r="Z111" s="786">
        <f t="shared" si="60"/>
        <v>0</v>
      </c>
      <c r="AA111" s="786">
        <f t="shared" si="61"/>
        <v>0</v>
      </c>
      <c r="AB111" s="786">
        <f t="shared" si="62"/>
        <v>0</v>
      </c>
      <c r="AC111" s="787">
        <f t="shared" si="63"/>
        <v>0</v>
      </c>
      <c r="AD111" s="787">
        <f t="shared" si="64"/>
        <v>0</v>
      </c>
      <c r="AE111" s="787">
        <f t="shared" si="65"/>
        <v>0</v>
      </c>
      <c r="AF111" s="787">
        <f t="shared" si="66"/>
        <v>0</v>
      </c>
      <c r="AG111" s="787">
        <f t="shared" si="67"/>
        <v>0</v>
      </c>
      <c r="AH111" s="788">
        <f t="shared" si="68"/>
        <v>0</v>
      </c>
      <c r="AI111" s="1888" t="s">
        <v>436</v>
      </c>
      <c r="AJ111" s="787">
        <f t="shared" si="69"/>
        <v>0</v>
      </c>
      <c r="AK111" s="787">
        <f t="shared" si="70"/>
        <v>0</v>
      </c>
      <c r="AL111" s="792">
        <f t="shared" si="71"/>
        <v>0</v>
      </c>
      <c r="AM111" s="1138">
        <v>10</v>
      </c>
      <c r="AN111" s="769">
        <v>6</v>
      </c>
      <c r="AO111" s="769">
        <v>12</v>
      </c>
      <c r="AP111" s="769"/>
      <c r="AQ111" s="1251"/>
      <c r="AR111" s="1249"/>
      <c r="AS111" s="1249"/>
      <c r="AT111" s="1249"/>
    </row>
    <row r="112" spans="1:46" ht="14.25" customHeight="1">
      <c r="A112" s="601"/>
      <c r="B112" s="637">
        <v>0.19</v>
      </c>
      <c r="C112" s="2437" t="s">
        <v>507</v>
      </c>
      <c r="D112" s="2436"/>
      <c r="E112" s="662"/>
      <c r="F112" s="663"/>
      <c r="G112" s="621">
        <f t="shared" si="72"/>
        <v>0</v>
      </c>
      <c r="H112" s="661">
        <f t="shared" si="56"/>
        <v>0</v>
      </c>
      <c r="I112" s="622">
        <v>12.1</v>
      </c>
      <c r="J112" s="624">
        <v>0.2</v>
      </c>
      <c r="K112" s="623">
        <v>0.05</v>
      </c>
      <c r="L112" s="664">
        <f>I112*1.3</f>
        <v>15.73</v>
      </c>
      <c r="M112" s="627">
        <v>0.2</v>
      </c>
      <c r="N112" s="214">
        <v>100</v>
      </c>
      <c r="O112" s="215">
        <v>66</v>
      </c>
      <c r="P112" s="215">
        <v>0.01</v>
      </c>
      <c r="Q112" s="215">
        <v>0.154</v>
      </c>
      <c r="R112" s="215">
        <v>2.1999999999999999E-2</v>
      </c>
      <c r="S112" s="216">
        <v>1.4E-2</v>
      </c>
      <c r="T112" s="2565"/>
      <c r="U112" s="1151">
        <f t="shared" si="54"/>
        <v>10.399999999999979</v>
      </c>
      <c r="V112" s="1151">
        <f t="shared" si="55"/>
        <v>294.8347999999994</v>
      </c>
      <c r="W112" s="108"/>
      <c r="X112" s="785">
        <f t="shared" si="58"/>
        <v>0</v>
      </c>
      <c r="Y112" s="786">
        <f t="shared" si="59"/>
        <v>0</v>
      </c>
      <c r="Z112" s="786">
        <f t="shared" si="60"/>
        <v>0</v>
      </c>
      <c r="AA112" s="786">
        <f t="shared" si="61"/>
        <v>0</v>
      </c>
      <c r="AB112" s="786">
        <f t="shared" si="62"/>
        <v>0</v>
      </c>
      <c r="AC112" s="787">
        <f t="shared" si="63"/>
        <v>0</v>
      </c>
      <c r="AD112" s="787">
        <f t="shared" si="64"/>
        <v>0</v>
      </c>
      <c r="AE112" s="787">
        <f t="shared" si="65"/>
        <v>0</v>
      </c>
      <c r="AF112" s="787">
        <f t="shared" si="66"/>
        <v>0</v>
      </c>
      <c r="AG112" s="787">
        <f t="shared" si="67"/>
        <v>0</v>
      </c>
      <c r="AH112" s="788">
        <f t="shared" si="68"/>
        <v>0</v>
      </c>
      <c r="AI112" s="1888" t="s">
        <v>436</v>
      </c>
      <c r="AJ112" s="787">
        <f t="shared" si="69"/>
        <v>0</v>
      </c>
      <c r="AK112" s="787">
        <f t="shared" si="70"/>
        <v>0</v>
      </c>
      <c r="AL112" s="792">
        <f t="shared" si="71"/>
        <v>0</v>
      </c>
      <c r="AM112" s="1138">
        <v>5</v>
      </c>
      <c r="AN112" s="769">
        <v>4</v>
      </c>
      <c r="AO112" s="769">
        <v>7</v>
      </c>
      <c r="AP112" s="769"/>
      <c r="AQ112" s="1251"/>
      <c r="AR112" s="1249"/>
      <c r="AS112" s="1249"/>
      <c r="AT112" s="1249"/>
    </row>
    <row r="113" spans="1:46" ht="14.25" customHeight="1">
      <c r="A113" s="601"/>
      <c r="B113" s="637">
        <v>0.14000000000000001</v>
      </c>
      <c r="C113" s="2437" t="s">
        <v>487</v>
      </c>
      <c r="D113" s="2436"/>
      <c r="E113" s="662"/>
      <c r="F113" s="663"/>
      <c r="G113" s="621">
        <f t="shared" si="72"/>
        <v>0</v>
      </c>
      <c r="H113" s="661">
        <f t="shared" si="56"/>
        <v>0</v>
      </c>
      <c r="I113" s="622">
        <v>12</v>
      </c>
      <c r="J113" s="624">
        <v>0.17</v>
      </c>
      <c r="K113" s="623">
        <v>0.05</v>
      </c>
      <c r="L113" s="664">
        <f>I113*1.1</f>
        <v>13.200000000000001</v>
      </c>
      <c r="M113" s="627">
        <v>0.2</v>
      </c>
      <c r="N113" s="214">
        <v>100</v>
      </c>
      <c r="O113" s="215">
        <v>105</v>
      </c>
      <c r="P113" s="215">
        <v>9.0999999999999998E-2</v>
      </c>
      <c r="Q113" s="215">
        <v>0.29199999999999998</v>
      </c>
      <c r="R113" s="215">
        <v>0.1</v>
      </c>
      <c r="S113" s="216">
        <v>7.3999999999999996E-2</v>
      </c>
      <c r="T113" s="2565"/>
      <c r="U113" s="1151">
        <f t="shared" si="54"/>
        <v>10.499999999999979</v>
      </c>
      <c r="V113" s="1151">
        <f t="shared" si="55"/>
        <v>297.6697499999994</v>
      </c>
      <c r="W113" s="108"/>
      <c r="X113" s="785">
        <f t="shared" si="58"/>
        <v>0</v>
      </c>
      <c r="Y113" s="786">
        <f t="shared" si="59"/>
        <v>0</v>
      </c>
      <c r="Z113" s="786">
        <f t="shared" si="60"/>
        <v>0</v>
      </c>
      <c r="AA113" s="786">
        <f t="shared" si="61"/>
        <v>0</v>
      </c>
      <c r="AB113" s="786">
        <f t="shared" si="62"/>
        <v>0</v>
      </c>
      <c r="AC113" s="787">
        <f t="shared" si="63"/>
        <v>0</v>
      </c>
      <c r="AD113" s="787">
        <f t="shared" si="64"/>
        <v>0</v>
      </c>
      <c r="AE113" s="787">
        <f t="shared" si="65"/>
        <v>0</v>
      </c>
      <c r="AF113" s="787">
        <f t="shared" si="66"/>
        <v>0</v>
      </c>
      <c r="AG113" s="787">
        <f t="shared" si="67"/>
        <v>0</v>
      </c>
      <c r="AH113" s="788">
        <f t="shared" si="68"/>
        <v>0</v>
      </c>
      <c r="AI113" s="1883" t="s">
        <v>25</v>
      </c>
      <c r="AJ113" s="787">
        <f t="shared" si="69"/>
        <v>0</v>
      </c>
      <c r="AK113" s="787">
        <f t="shared" si="70"/>
        <v>0</v>
      </c>
      <c r="AL113" s="792">
        <f t="shared" si="71"/>
        <v>0</v>
      </c>
      <c r="AM113" s="1138">
        <v>14</v>
      </c>
      <c r="AN113" s="769">
        <v>16</v>
      </c>
      <c r="AO113" s="769">
        <v>7</v>
      </c>
      <c r="AP113" s="769"/>
      <c r="AQ113" s="1251"/>
      <c r="AR113" s="1249"/>
      <c r="AS113" s="1249"/>
      <c r="AT113" s="1249"/>
    </row>
    <row r="114" spans="1:46" ht="14.25" customHeight="1">
      <c r="A114" s="601"/>
      <c r="B114" s="637">
        <v>0.17</v>
      </c>
      <c r="C114" s="2437" t="s">
        <v>488</v>
      </c>
      <c r="D114" s="2436"/>
      <c r="E114" s="662"/>
      <c r="F114" s="663"/>
      <c r="G114" s="621">
        <f t="shared" si="72"/>
        <v>0</v>
      </c>
      <c r="H114" s="661">
        <f t="shared" si="56"/>
        <v>0</v>
      </c>
      <c r="I114" s="624">
        <v>15</v>
      </c>
      <c r="J114" s="623">
        <v>0.7</v>
      </c>
      <c r="K114" s="623">
        <v>0.05</v>
      </c>
      <c r="L114" s="664">
        <f>I114*1.1</f>
        <v>16.5</v>
      </c>
      <c r="M114" s="627">
        <v>0.2</v>
      </c>
      <c r="N114" s="214">
        <v>100</v>
      </c>
      <c r="O114" s="215">
        <v>90</v>
      </c>
      <c r="P114" s="215">
        <v>1.6E-2</v>
      </c>
      <c r="Q114" s="215">
        <v>0.29699999999999999</v>
      </c>
      <c r="R114" s="215">
        <v>7.1999999999999995E-2</v>
      </c>
      <c r="S114" s="216">
        <v>2.7E-2</v>
      </c>
      <c r="T114" s="2565"/>
      <c r="U114" s="1151">
        <f t="shared" si="54"/>
        <v>10.599999999999978</v>
      </c>
      <c r="V114" s="1151">
        <f t="shared" si="55"/>
        <v>300.50469999999939</v>
      </c>
      <c r="W114" s="108"/>
      <c r="X114" s="785">
        <f t="shared" si="58"/>
        <v>0</v>
      </c>
      <c r="Y114" s="786">
        <f t="shared" si="59"/>
        <v>0</v>
      </c>
      <c r="Z114" s="786">
        <f t="shared" si="60"/>
        <v>0</v>
      </c>
      <c r="AA114" s="786">
        <f t="shared" si="61"/>
        <v>0</v>
      </c>
      <c r="AB114" s="786">
        <f t="shared" si="62"/>
        <v>0</v>
      </c>
      <c r="AC114" s="787">
        <f t="shared" si="63"/>
        <v>0</v>
      </c>
      <c r="AD114" s="787">
        <f t="shared" si="64"/>
        <v>0</v>
      </c>
      <c r="AE114" s="787">
        <f t="shared" si="65"/>
        <v>0</v>
      </c>
      <c r="AF114" s="787">
        <f t="shared" si="66"/>
        <v>0</v>
      </c>
      <c r="AG114" s="787">
        <f t="shared" si="67"/>
        <v>0</v>
      </c>
      <c r="AH114" s="788">
        <f t="shared" si="68"/>
        <v>0</v>
      </c>
      <c r="AI114" s="1883" t="s">
        <v>436</v>
      </c>
      <c r="AJ114" s="787">
        <f t="shared" si="69"/>
        <v>0</v>
      </c>
      <c r="AK114" s="787">
        <f t="shared" si="70"/>
        <v>0</v>
      </c>
      <c r="AL114" s="792">
        <f t="shared" si="71"/>
        <v>0</v>
      </c>
      <c r="AM114" s="1138">
        <v>9</v>
      </c>
      <c r="AN114" s="769">
        <v>5</v>
      </c>
      <c r="AO114" s="769">
        <v>13</v>
      </c>
      <c r="AP114" s="769"/>
      <c r="AQ114" s="1251"/>
      <c r="AR114" s="1249"/>
      <c r="AS114" s="1249"/>
      <c r="AT114" s="1249"/>
    </row>
    <row r="115" spans="1:46" ht="14.25" customHeight="1">
      <c r="A115" s="601"/>
      <c r="B115" s="637">
        <v>0.3</v>
      </c>
      <c r="C115" s="2437" t="s">
        <v>489</v>
      </c>
      <c r="D115" s="2436"/>
      <c r="E115" s="662"/>
      <c r="F115" s="663"/>
      <c r="G115" s="621">
        <f t="shared" si="72"/>
        <v>0</v>
      </c>
      <c r="H115" s="661">
        <f t="shared" si="56"/>
        <v>0</v>
      </c>
      <c r="I115" s="622">
        <v>21</v>
      </c>
      <c r="J115" s="623">
        <v>0.6</v>
      </c>
      <c r="K115" s="623">
        <v>0.05</v>
      </c>
      <c r="L115" s="665">
        <f>I115*1.1</f>
        <v>23.1</v>
      </c>
      <c r="M115" s="627">
        <v>0.2</v>
      </c>
      <c r="N115" s="214">
        <v>100</v>
      </c>
      <c r="O115" s="215">
        <v>270</v>
      </c>
      <c r="P115" s="215">
        <v>3.4000000000000002E-2</v>
      </c>
      <c r="Q115" s="215">
        <v>0.86599999999999999</v>
      </c>
      <c r="R115" s="215">
        <v>0.1</v>
      </c>
      <c r="S115" s="216">
        <v>0.20300000000000001</v>
      </c>
      <c r="T115" s="2565"/>
      <c r="U115" s="1151">
        <f t="shared" si="54"/>
        <v>10.699999999999978</v>
      </c>
      <c r="V115" s="1151">
        <f t="shared" si="55"/>
        <v>303.33964999999938</v>
      </c>
      <c r="W115" s="108"/>
      <c r="X115" s="785">
        <f t="shared" si="58"/>
        <v>0</v>
      </c>
      <c r="Y115" s="786">
        <f t="shared" si="59"/>
        <v>0</v>
      </c>
      <c r="Z115" s="786">
        <f t="shared" si="60"/>
        <v>0</v>
      </c>
      <c r="AA115" s="786">
        <f t="shared" si="61"/>
        <v>0</v>
      </c>
      <c r="AB115" s="786">
        <f t="shared" si="62"/>
        <v>0</v>
      </c>
      <c r="AC115" s="787">
        <f t="shared" si="63"/>
        <v>0</v>
      </c>
      <c r="AD115" s="787">
        <f t="shared" si="64"/>
        <v>0</v>
      </c>
      <c r="AE115" s="787">
        <f t="shared" si="65"/>
        <v>0</v>
      </c>
      <c r="AF115" s="787">
        <f t="shared" si="66"/>
        <v>0</v>
      </c>
      <c r="AG115" s="787">
        <f t="shared" si="67"/>
        <v>0</v>
      </c>
      <c r="AH115" s="788">
        <f t="shared" si="68"/>
        <v>0</v>
      </c>
      <c r="AI115" s="1888" t="s">
        <v>436</v>
      </c>
      <c r="AJ115" s="787">
        <f t="shared" si="69"/>
        <v>0</v>
      </c>
      <c r="AK115" s="787">
        <f t="shared" si="70"/>
        <v>0</v>
      </c>
      <c r="AL115" s="792">
        <f t="shared" si="71"/>
        <v>0</v>
      </c>
      <c r="AM115" s="1138">
        <v>12</v>
      </c>
      <c r="AN115" s="769">
        <v>14</v>
      </c>
      <c r="AO115" s="769">
        <v>25</v>
      </c>
      <c r="AP115" s="769"/>
      <c r="AQ115" s="1251"/>
      <c r="AR115" s="1249"/>
      <c r="AS115" s="1249"/>
      <c r="AT115" s="1249"/>
    </row>
    <row r="116" spans="1:46" ht="14.25" customHeight="1">
      <c r="A116" s="601"/>
      <c r="B116" s="637">
        <v>0.15</v>
      </c>
      <c r="C116" s="2437" t="s">
        <v>492</v>
      </c>
      <c r="D116" s="2436"/>
      <c r="E116" s="662"/>
      <c r="F116" s="663"/>
      <c r="G116" s="621">
        <f t="shared" si="72"/>
        <v>0</v>
      </c>
      <c r="H116" s="661">
        <f t="shared" si="56"/>
        <v>0</v>
      </c>
      <c r="I116" s="622">
        <v>14</v>
      </c>
      <c r="J116" s="623">
        <v>0.6</v>
      </c>
      <c r="K116" s="623">
        <v>0.05</v>
      </c>
      <c r="L116" s="664">
        <f>I116*1.1</f>
        <v>15.400000000000002</v>
      </c>
      <c r="M116" s="627">
        <v>0.2</v>
      </c>
      <c r="N116" s="214">
        <v>100</v>
      </c>
      <c r="O116" s="215">
        <v>94</v>
      </c>
      <c r="P116" s="215">
        <v>0.02</v>
      </c>
      <c r="Q116" s="215">
        <v>0.44</v>
      </c>
      <c r="R116" s="215">
        <v>0</v>
      </c>
      <c r="S116" s="216">
        <v>0.04</v>
      </c>
      <c r="T116" s="2565"/>
      <c r="U116" s="1151">
        <f t="shared" si="54"/>
        <v>10.799999999999978</v>
      </c>
      <c r="V116" s="1151">
        <f t="shared" si="55"/>
        <v>306.17459999999937</v>
      </c>
      <c r="W116" s="108"/>
      <c r="X116" s="785">
        <f t="shared" si="58"/>
        <v>0</v>
      </c>
      <c r="Y116" s="786">
        <f t="shared" si="59"/>
        <v>0</v>
      </c>
      <c r="Z116" s="786">
        <f t="shared" si="60"/>
        <v>0</v>
      </c>
      <c r="AA116" s="786">
        <f t="shared" si="61"/>
        <v>0</v>
      </c>
      <c r="AB116" s="786">
        <f t="shared" si="62"/>
        <v>0</v>
      </c>
      <c r="AC116" s="787">
        <f t="shared" si="63"/>
        <v>0</v>
      </c>
      <c r="AD116" s="787">
        <f t="shared" si="64"/>
        <v>0</v>
      </c>
      <c r="AE116" s="787">
        <f t="shared" si="65"/>
        <v>0</v>
      </c>
      <c r="AF116" s="787">
        <f t="shared" si="66"/>
        <v>0</v>
      </c>
      <c r="AG116" s="787">
        <f t="shared" si="67"/>
        <v>0</v>
      </c>
      <c r="AH116" s="788">
        <f t="shared" si="68"/>
        <v>0</v>
      </c>
      <c r="AI116" s="1883" t="s">
        <v>25</v>
      </c>
      <c r="AJ116" s="787">
        <f t="shared" si="69"/>
        <v>0</v>
      </c>
      <c r="AK116" s="787">
        <f t="shared" si="70"/>
        <v>0</v>
      </c>
      <c r="AL116" s="792">
        <f t="shared" si="71"/>
        <v>0</v>
      </c>
      <c r="AM116" s="1138">
        <v>11</v>
      </c>
      <c r="AN116" s="769">
        <v>12</v>
      </c>
      <c r="AO116" s="769">
        <v>9</v>
      </c>
      <c r="AP116" s="769"/>
      <c r="AQ116" s="1251"/>
      <c r="AR116" s="1249"/>
      <c r="AS116" s="1249"/>
      <c r="AT116" s="1249"/>
    </row>
    <row r="117" spans="1:46" ht="14.25" customHeight="1">
      <c r="A117" s="601"/>
      <c r="B117" s="637">
        <v>0.15</v>
      </c>
      <c r="C117" s="2437" t="s">
        <v>494</v>
      </c>
      <c r="D117" s="2436"/>
      <c r="E117" s="662"/>
      <c r="F117" s="663"/>
      <c r="G117" s="621">
        <f t="shared" si="72"/>
        <v>0</v>
      </c>
      <c r="H117" s="661">
        <f t="shared" si="56"/>
        <v>0</v>
      </c>
      <c r="I117" s="622">
        <v>7</v>
      </c>
      <c r="J117" s="623">
        <v>0.7</v>
      </c>
      <c r="K117" s="623">
        <v>0.05</v>
      </c>
      <c r="L117" s="665">
        <f>I117*1.3</f>
        <v>9.1</v>
      </c>
      <c r="M117" s="627">
        <v>0.2</v>
      </c>
      <c r="N117" s="214">
        <v>100</v>
      </c>
      <c r="O117" s="214">
        <v>30</v>
      </c>
      <c r="P117" s="214">
        <v>0.01</v>
      </c>
      <c r="Q117" s="214">
        <v>0.15</v>
      </c>
      <c r="R117" s="214">
        <v>0.1</v>
      </c>
      <c r="S117" s="218">
        <v>0.01</v>
      </c>
      <c r="T117" s="2565"/>
      <c r="U117" s="1151">
        <f t="shared" si="54"/>
        <v>10.899999999999977</v>
      </c>
      <c r="V117" s="1151">
        <f t="shared" si="55"/>
        <v>309.00954999999936</v>
      </c>
      <c r="W117" s="108"/>
      <c r="X117" s="785">
        <f t="shared" si="58"/>
        <v>0</v>
      </c>
      <c r="Y117" s="786">
        <f t="shared" si="59"/>
        <v>0</v>
      </c>
      <c r="Z117" s="786">
        <f t="shared" si="60"/>
        <v>0</v>
      </c>
      <c r="AA117" s="786">
        <f t="shared" si="61"/>
        <v>0</v>
      </c>
      <c r="AB117" s="786">
        <f t="shared" si="62"/>
        <v>0</v>
      </c>
      <c r="AC117" s="787">
        <f t="shared" si="63"/>
        <v>0</v>
      </c>
      <c r="AD117" s="787">
        <f t="shared" si="64"/>
        <v>0</v>
      </c>
      <c r="AE117" s="787">
        <f t="shared" si="65"/>
        <v>0</v>
      </c>
      <c r="AF117" s="787">
        <f t="shared" si="66"/>
        <v>0</v>
      </c>
      <c r="AG117" s="787">
        <f t="shared" si="67"/>
        <v>0</v>
      </c>
      <c r="AH117" s="788">
        <f t="shared" si="68"/>
        <v>0</v>
      </c>
      <c r="AI117" s="1888" t="s">
        <v>436</v>
      </c>
      <c r="AJ117" s="787">
        <f t="shared" si="69"/>
        <v>0</v>
      </c>
      <c r="AK117" s="787">
        <f t="shared" si="70"/>
        <v>0</v>
      </c>
      <c r="AL117" s="792">
        <f t="shared" si="71"/>
        <v>0</v>
      </c>
      <c r="AM117" s="1884">
        <v>10</v>
      </c>
      <c r="AN117" s="1884">
        <v>10</v>
      </c>
      <c r="AO117" s="1884">
        <v>8</v>
      </c>
      <c r="AP117" s="769"/>
      <c r="AQ117" s="1251"/>
      <c r="AR117" s="1249"/>
      <c r="AS117" s="1249"/>
      <c r="AT117" s="1249"/>
    </row>
    <row r="118" spans="1:46" ht="14.25" customHeight="1">
      <c r="A118" s="601"/>
      <c r="B118" s="637">
        <v>0.2</v>
      </c>
      <c r="C118" s="2437" t="s">
        <v>508</v>
      </c>
      <c r="D118" s="2436"/>
      <c r="E118" s="662"/>
      <c r="F118" s="663"/>
      <c r="G118" s="621">
        <f t="shared" si="72"/>
        <v>0</v>
      </c>
      <c r="H118" s="661">
        <f t="shared" si="56"/>
        <v>0</v>
      </c>
      <c r="I118" s="624">
        <v>24</v>
      </c>
      <c r="J118" s="623">
        <v>0.6</v>
      </c>
      <c r="K118" s="623">
        <v>0.05</v>
      </c>
      <c r="L118" s="664">
        <f>I118*1.1</f>
        <v>26.400000000000002</v>
      </c>
      <c r="M118" s="627">
        <v>0.2</v>
      </c>
      <c r="N118" s="214">
        <v>100</v>
      </c>
      <c r="O118" s="215">
        <v>86</v>
      </c>
      <c r="P118" s="215">
        <v>0.02</v>
      </c>
      <c r="Q118" s="215">
        <v>0.06</v>
      </c>
      <c r="R118" s="215">
        <v>0.17899999999999999</v>
      </c>
      <c r="S118" s="216">
        <v>0.05</v>
      </c>
      <c r="T118" s="2565"/>
      <c r="U118" s="1151">
        <f t="shared" si="54"/>
        <v>10.999999999999977</v>
      </c>
      <c r="V118" s="1151">
        <f t="shared" si="55"/>
        <v>311.84449999999936</v>
      </c>
      <c r="W118" s="108"/>
      <c r="X118" s="785">
        <f t="shared" si="58"/>
        <v>0</v>
      </c>
      <c r="Y118" s="786">
        <f t="shared" si="59"/>
        <v>0</v>
      </c>
      <c r="Z118" s="786">
        <f t="shared" si="60"/>
        <v>0</v>
      </c>
      <c r="AA118" s="786">
        <f t="shared" si="61"/>
        <v>0</v>
      </c>
      <c r="AB118" s="786">
        <f t="shared" si="62"/>
        <v>0</v>
      </c>
      <c r="AC118" s="787">
        <f t="shared" si="63"/>
        <v>0</v>
      </c>
      <c r="AD118" s="787">
        <f t="shared" si="64"/>
        <v>0</v>
      </c>
      <c r="AE118" s="787">
        <f t="shared" si="65"/>
        <v>0</v>
      </c>
      <c r="AF118" s="787">
        <f t="shared" si="66"/>
        <v>0</v>
      </c>
      <c r="AG118" s="787">
        <f t="shared" si="67"/>
        <v>0</v>
      </c>
      <c r="AH118" s="788">
        <f t="shared" si="68"/>
        <v>0</v>
      </c>
      <c r="AI118" s="1888" t="s">
        <v>25</v>
      </c>
      <c r="AJ118" s="787">
        <f t="shared" si="69"/>
        <v>0</v>
      </c>
      <c r="AK118" s="787">
        <f t="shared" si="70"/>
        <v>0</v>
      </c>
      <c r="AL118" s="792">
        <f t="shared" si="71"/>
        <v>0</v>
      </c>
      <c r="AM118" s="1138">
        <v>13</v>
      </c>
      <c r="AN118" s="769">
        <v>8</v>
      </c>
      <c r="AO118" s="769">
        <v>12</v>
      </c>
      <c r="AP118" s="769"/>
      <c r="AQ118" s="1251"/>
      <c r="AR118" s="1249"/>
      <c r="AS118" s="1249"/>
      <c r="AT118" s="1249"/>
    </row>
    <row r="119" spans="1:46" ht="14.25" customHeight="1">
      <c r="A119" s="601"/>
      <c r="B119" s="637">
        <v>0.15</v>
      </c>
      <c r="C119" s="2437" t="s">
        <v>497</v>
      </c>
      <c r="D119" s="2436"/>
      <c r="E119" s="662"/>
      <c r="F119" s="663"/>
      <c r="G119" s="621">
        <f t="shared" si="72"/>
        <v>0</v>
      </c>
      <c r="H119" s="661">
        <f t="shared" si="56"/>
        <v>0</v>
      </c>
      <c r="I119" s="622">
        <v>8</v>
      </c>
      <c r="J119" s="623">
        <v>0.5</v>
      </c>
      <c r="K119" s="623">
        <v>0.05</v>
      </c>
      <c r="L119" s="665">
        <f>I119*1.1</f>
        <v>8.8000000000000007</v>
      </c>
      <c r="M119" s="627">
        <v>0.2</v>
      </c>
      <c r="N119" s="214">
        <v>100</v>
      </c>
      <c r="O119" s="215">
        <v>170</v>
      </c>
      <c r="P119" s="215">
        <v>5.2999999999999999E-2</v>
      </c>
      <c r="Q119" s="215">
        <v>0.44600000000000001</v>
      </c>
      <c r="R119" s="215">
        <v>0.125</v>
      </c>
      <c r="S119" s="216">
        <v>4.2000000000000003E-2</v>
      </c>
      <c r="T119" s="2565"/>
      <c r="U119" s="1151">
        <f t="shared" si="54"/>
        <v>11.099999999999977</v>
      </c>
      <c r="V119" s="1151">
        <f t="shared" si="55"/>
        <v>314.67944999999935</v>
      </c>
      <c r="W119" s="1616"/>
      <c r="X119" s="785">
        <f t="shared" si="58"/>
        <v>0</v>
      </c>
      <c r="Y119" s="786">
        <f t="shared" si="59"/>
        <v>0</v>
      </c>
      <c r="Z119" s="786">
        <f t="shared" si="60"/>
        <v>0</v>
      </c>
      <c r="AA119" s="786">
        <f t="shared" si="61"/>
        <v>0</v>
      </c>
      <c r="AB119" s="786">
        <f t="shared" si="62"/>
        <v>0</v>
      </c>
      <c r="AC119" s="787">
        <f t="shared" si="63"/>
        <v>0</v>
      </c>
      <c r="AD119" s="787">
        <f t="shared" si="64"/>
        <v>0</v>
      </c>
      <c r="AE119" s="787">
        <f t="shared" si="65"/>
        <v>0</v>
      </c>
      <c r="AF119" s="787">
        <f t="shared" si="66"/>
        <v>0</v>
      </c>
      <c r="AG119" s="787">
        <f t="shared" si="67"/>
        <v>0</v>
      </c>
      <c r="AH119" s="788">
        <f t="shared" si="68"/>
        <v>0</v>
      </c>
      <c r="AI119" s="1883" t="s">
        <v>25</v>
      </c>
      <c r="AJ119" s="787">
        <f t="shared" si="69"/>
        <v>0</v>
      </c>
      <c r="AK119" s="787">
        <f t="shared" si="70"/>
        <v>0</v>
      </c>
      <c r="AL119" s="792">
        <f t="shared" si="71"/>
        <v>0</v>
      </c>
      <c r="AM119" s="1138">
        <v>18</v>
      </c>
      <c r="AN119" s="769">
        <v>8</v>
      </c>
      <c r="AO119" s="769">
        <v>14</v>
      </c>
      <c r="AP119" s="769"/>
      <c r="AQ119" s="1251"/>
      <c r="AR119" s="1249"/>
      <c r="AS119" s="1249"/>
      <c r="AT119" s="1249"/>
    </row>
    <row r="120" spans="1:46" ht="14.25" customHeight="1">
      <c r="A120" s="601"/>
      <c r="B120" s="637"/>
      <c r="C120" s="2437" t="s">
        <v>148</v>
      </c>
      <c r="D120" s="2436"/>
      <c r="E120" s="662"/>
      <c r="F120" s="663"/>
      <c r="G120" s="621">
        <f t="shared" si="72"/>
        <v>0</v>
      </c>
      <c r="H120" s="661">
        <f t="shared" si="56"/>
        <v>0</v>
      </c>
      <c r="I120" s="622"/>
      <c r="J120" s="622"/>
      <c r="K120" s="622"/>
      <c r="L120" s="628"/>
      <c r="M120" s="628"/>
      <c r="N120" s="215"/>
      <c r="O120" s="215"/>
      <c r="P120" s="215"/>
      <c r="Q120" s="215"/>
      <c r="R120" s="215"/>
      <c r="S120" s="216"/>
      <c r="T120" s="2565"/>
      <c r="U120" s="1151">
        <f t="shared" si="54"/>
        <v>11.199999999999976</v>
      </c>
      <c r="V120" s="1151">
        <f t="shared" si="55"/>
        <v>317.51439999999934</v>
      </c>
      <c r="W120" s="108"/>
      <c r="X120" s="785">
        <f t="shared" si="58"/>
        <v>0</v>
      </c>
      <c r="Y120" s="786">
        <f t="shared" si="59"/>
        <v>0</v>
      </c>
      <c r="Z120" s="786">
        <f t="shared" si="60"/>
        <v>0</v>
      </c>
      <c r="AA120" s="786">
        <f t="shared" si="61"/>
        <v>0</v>
      </c>
      <c r="AB120" s="786">
        <f t="shared" si="62"/>
        <v>0</v>
      </c>
      <c r="AC120" s="787">
        <f t="shared" si="63"/>
        <v>0</v>
      </c>
      <c r="AD120" s="787">
        <f t="shared" si="64"/>
        <v>0</v>
      </c>
      <c r="AE120" s="787">
        <f t="shared" si="65"/>
        <v>0</v>
      </c>
      <c r="AF120" s="787">
        <f t="shared" si="66"/>
        <v>0</v>
      </c>
      <c r="AG120" s="787">
        <f t="shared" si="67"/>
        <v>0</v>
      </c>
      <c r="AH120" s="788">
        <f t="shared" si="68"/>
        <v>0</v>
      </c>
      <c r="AI120" s="1883"/>
      <c r="AJ120" s="787">
        <f t="shared" si="69"/>
        <v>0</v>
      </c>
      <c r="AK120" s="787">
        <f t="shared" si="70"/>
        <v>0</v>
      </c>
      <c r="AL120" s="792">
        <f t="shared" si="71"/>
        <v>0</v>
      </c>
      <c r="AM120" s="1138"/>
      <c r="AN120" s="769"/>
      <c r="AO120" s="769"/>
      <c r="AP120" s="769"/>
      <c r="AQ120" s="1251"/>
      <c r="AR120" s="1249"/>
      <c r="AS120" s="1249"/>
      <c r="AT120" s="1249"/>
    </row>
    <row r="121" spans="1:46" ht="14.25" customHeight="1">
      <c r="A121" s="601"/>
      <c r="B121" s="631"/>
      <c r="C121" s="666"/>
      <c r="D121" s="656"/>
      <c r="E121" s="634"/>
      <c r="F121" s="634"/>
      <c r="G121" s="659"/>
      <c r="H121" s="656"/>
      <c r="I121" s="667"/>
      <c r="J121" s="667"/>
      <c r="K121" s="667"/>
      <c r="L121" s="668"/>
      <c r="M121" s="668"/>
      <c r="N121" s="221"/>
      <c r="O121" s="221"/>
      <c r="P121" s="221"/>
      <c r="Q121" s="221"/>
      <c r="R121" s="221"/>
      <c r="S121" s="387"/>
      <c r="T121" s="2565"/>
      <c r="U121" s="1151">
        <f t="shared" si="54"/>
        <v>11.299999999999976</v>
      </c>
      <c r="V121" s="1151">
        <f>U121*28.3495</f>
        <v>320.34934999999928</v>
      </c>
      <c r="W121" s="108"/>
      <c r="X121" s="785"/>
      <c r="Y121" s="786"/>
      <c r="Z121" s="786"/>
      <c r="AA121" s="786"/>
      <c r="AB121" s="787"/>
      <c r="AC121" s="787"/>
      <c r="AD121" s="120"/>
      <c r="AE121" s="2464"/>
      <c r="AF121" s="2464"/>
      <c r="AG121" s="121"/>
      <c r="AH121" s="122"/>
      <c r="AI121" s="1249"/>
      <c r="AJ121" s="787"/>
      <c r="AK121" s="787"/>
      <c r="AL121" s="787"/>
      <c r="AM121" s="787"/>
      <c r="AN121" s="769"/>
      <c r="AO121" s="769"/>
      <c r="AP121" s="769"/>
      <c r="AQ121" s="1251"/>
      <c r="AR121" s="1249"/>
      <c r="AS121" s="1249"/>
      <c r="AT121" s="1249"/>
    </row>
    <row r="122" spans="1:46" ht="14.25" customHeight="1">
      <c r="A122" s="601"/>
      <c r="B122" s="2170"/>
      <c r="C122" s="4144" t="s">
        <v>1168</v>
      </c>
      <c r="D122" s="4145"/>
      <c r="E122" s="4145"/>
      <c r="F122" s="4145"/>
      <c r="G122" s="4146"/>
      <c r="H122" s="656"/>
      <c r="I122" s="1251"/>
      <c r="J122" s="1896" t="s">
        <v>332</v>
      </c>
      <c r="K122" s="4076" t="s">
        <v>1475</v>
      </c>
      <c r="L122" s="4076"/>
      <c r="M122" s="657">
        <v>150</v>
      </c>
      <c r="N122" s="1149" t="s">
        <v>149</v>
      </c>
      <c r="O122" s="1906" t="s">
        <v>32</v>
      </c>
      <c r="P122" s="4076" t="s">
        <v>1169</v>
      </c>
      <c r="Q122" s="4076"/>
      <c r="R122" s="657">
        <v>8</v>
      </c>
      <c r="S122" s="387"/>
      <c r="T122" s="2565"/>
      <c r="U122" s="1151">
        <f t="shared" si="54"/>
        <v>11.399999999999975</v>
      </c>
      <c r="V122" s="1151">
        <f>U122*28.3495</f>
        <v>323.18429999999927</v>
      </c>
      <c r="W122" s="108"/>
      <c r="X122" s="785"/>
      <c r="Y122" s="786"/>
      <c r="Z122" s="786"/>
      <c r="AA122" s="786"/>
      <c r="AB122" s="787"/>
      <c r="AC122" s="787"/>
      <c r="AD122" s="120"/>
      <c r="AE122" s="2464"/>
      <c r="AF122" s="2464"/>
      <c r="AG122" s="121"/>
      <c r="AH122" s="122"/>
      <c r="AI122" s="1249"/>
      <c r="AJ122" s="787"/>
      <c r="AK122" s="787"/>
      <c r="AL122" s="787"/>
      <c r="AM122" s="787"/>
      <c r="AN122" s="769"/>
      <c r="AO122" s="769"/>
      <c r="AP122" s="769"/>
      <c r="AQ122" s="1251"/>
      <c r="AR122" s="1249"/>
      <c r="AS122" s="1249"/>
      <c r="AT122" s="1249"/>
    </row>
    <row r="123" spans="1:46" ht="14.25" customHeight="1">
      <c r="A123" s="601"/>
      <c r="B123" s="2170"/>
      <c r="C123" s="666"/>
      <c r="D123" s="656"/>
      <c r="E123" s="634"/>
      <c r="F123" s="634"/>
      <c r="G123" s="659"/>
      <c r="H123" s="656"/>
      <c r="I123" s="669"/>
      <c r="J123" s="2379"/>
      <c r="K123" s="4076" t="s">
        <v>1476</v>
      </c>
      <c r="L123" s="4076"/>
      <c r="M123" s="657">
        <v>34</v>
      </c>
      <c r="N123" s="4130" t="str">
        <f>FIXED(100*M123/M122,0)&amp;"g/100ml"</f>
        <v>23g/100ml</v>
      </c>
      <c r="O123" s="4130"/>
      <c r="P123" s="4076" t="s">
        <v>616</v>
      </c>
      <c r="Q123" s="4076"/>
      <c r="R123" s="657">
        <v>28</v>
      </c>
      <c r="S123" s="670" t="str">
        <f>FIXED((100*R123/R122)/29.5735,0)&amp;"g/100ml"</f>
        <v>12g/100ml</v>
      </c>
      <c r="T123" s="2565"/>
      <c r="U123" s="1151">
        <f t="shared" si="54"/>
        <v>11.499999999999975</v>
      </c>
      <c r="V123" s="1151">
        <f>U123*28.3495</f>
        <v>326.01924999999926</v>
      </c>
      <c r="W123" s="108"/>
      <c r="X123" s="785"/>
      <c r="Y123" s="786"/>
      <c r="Z123" s="786"/>
      <c r="AA123" s="786"/>
      <c r="AB123" s="787"/>
      <c r="AC123" s="787"/>
      <c r="AD123" s="120"/>
      <c r="AE123" s="2464"/>
      <c r="AF123" s="2464"/>
      <c r="AG123" s="121"/>
      <c r="AH123" s="122"/>
      <c r="AI123" s="1249"/>
      <c r="AJ123" s="787"/>
      <c r="AK123" s="787"/>
      <c r="AL123" s="787"/>
      <c r="AM123" s="787"/>
      <c r="AN123" s="769"/>
      <c r="AO123" s="769"/>
      <c r="AP123" s="769"/>
      <c r="AQ123" s="1251"/>
      <c r="AR123" s="1249"/>
      <c r="AS123" s="1249"/>
      <c r="AT123" s="1249"/>
    </row>
    <row r="124" spans="1:46" ht="14.25" customHeight="1">
      <c r="A124" s="601"/>
      <c r="B124" s="2170"/>
      <c r="C124" s="666"/>
      <c r="D124" s="656"/>
      <c r="E124" s="634"/>
      <c r="F124" s="634"/>
      <c r="G124" s="659"/>
      <c r="H124" s="656"/>
      <c r="I124" s="669"/>
      <c r="J124" s="2379"/>
      <c r="K124" s="4076" t="s">
        <v>1477</v>
      </c>
      <c r="L124" s="4076"/>
      <c r="M124" s="657">
        <v>11</v>
      </c>
      <c r="N124" s="4130" t="str">
        <f>FIXED(100*M124/M122,0)&amp;"g/100ml"</f>
        <v>7g/100ml</v>
      </c>
      <c r="O124" s="4130"/>
      <c r="P124" s="4076" t="s">
        <v>615</v>
      </c>
      <c r="Q124" s="4076"/>
      <c r="R124" s="657">
        <v>29</v>
      </c>
      <c r="S124" s="670" t="str">
        <f>FIXED((100*R124/R122)/29.5735,0)&amp;"g/100ml"</f>
        <v>12g/100ml</v>
      </c>
      <c r="T124" s="2565"/>
      <c r="U124" s="1151">
        <f t="shared" si="54"/>
        <v>11.599999999999975</v>
      </c>
      <c r="V124" s="1151">
        <f>U124*28.3495</f>
        <v>328.85419999999925</v>
      </c>
      <c r="W124" s="108"/>
      <c r="X124" s="785"/>
      <c r="Y124" s="786"/>
      <c r="Z124" s="786"/>
      <c r="AA124" s="786"/>
      <c r="AB124" s="787"/>
      <c r="AC124" s="787"/>
      <c r="AD124" s="120"/>
      <c r="AE124" s="2464"/>
      <c r="AF124" s="2464"/>
      <c r="AG124" s="121"/>
      <c r="AH124" s="122"/>
      <c r="AI124" s="1249"/>
      <c r="AJ124" s="787"/>
      <c r="AK124" s="787"/>
      <c r="AL124" s="787"/>
      <c r="AM124" s="787"/>
      <c r="AN124" s="769"/>
      <c r="AO124" s="769"/>
      <c r="AP124" s="769"/>
      <c r="AQ124" s="1251"/>
      <c r="AR124" s="1249"/>
      <c r="AS124" s="1249"/>
      <c r="AT124" s="1249"/>
    </row>
    <row r="125" spans="1:46" ht="14.25" customHeight="1">
      <c r="A125" s="601"/>
      <c r="B125" s="1620" t="s">
        <v>398</v>
      </c>
      <c r="C125" s="632"/>
      <c r="D125" s="634" t="s">
        <v>509</v>
      </c>
      <c r="E125" s="671"/>
      <c r="F125" s="2138" t="s">
        <v>195</v>
      </c>
      <c r="G125" s="2136" t="s">
        <v>510</v>
      </c>
      <c r="H125" s="634"/>
      <c r="I125" s="615" t="s">
        <v>400</v>
      </c>
      <c r="J125" s="635" t="s">
        <v>140</v>
      </c>
      <c r="K125" s="635" t="s">
        <v>401</v>
      </c>
      <c r="L125" s="635" t="s">
        <v>402</v>
      </c>
      <c r="M125" s="635" t="s">
        <v>403</v>
      </c>
      <c r="N125" s="616" t="s">
        <v>404</v>
      </c>
      <c r="O125" s="615" t="s">
        <v>405</v>
      </c>
      <c r="P125" s="2380" t="s">
        <v>406</v>
      </c>
      <c r="Q125" s="2380" t="s">
        <v>407</v>
      </c>
      <c r="R125" s="2380" t="s">
        <v>408</v>
      </c>
      <c r="S125" s="672" t="s">
        <v>409</v>
      </c>
      <c r="T125" s="2565"/>
      <c r="U125" s="1151">
        <f t="shared" si="54"/>
        <v>11.699999999999974</v>
      </c>
      <c r="V125" s="1151">
        <f>U125*28.3495</f>
        <v>331.68914999999924</v>
      </c>
      <c r="W125" s="108"/>
      <c r="X125" s="790" t="s">
        <v>400</v>
      </c>
      <c r="Y125" s="635" t="s">
        <v>140</v>
      </c>
      <c r="Z125" s="635" t="s">
        <v>401</v>
      </c>
      <c r="AA125" s="635" t="s">
        <v>402</v>
      </c>
      <c r="AB125" s="635" t="s">
        <v>403</v>
      </c>
      <c r="AC125" s="615" t="s">
        <v>410</v>
      </c>
      <c r="AD125" s="615" t="s">
        <v>411</v>
      </c>
      <c r="AE125" s="2464" t="s">
        <v>406</v>
      </c>
      <c r="AF125" s="2464" t="s">
        <v>407</v>
      </c>
      <c r="AG125" s="2464" t="s">
        <v>408</v>
      </c>
      <c r="AH125" s="122" t="s">
        <v>409</v>
      </c>
      <c r="AI125" s="1881" t="s">
        <v>424</v>
      </c>
      <c r="AJ125" s="615" t="s">
        <v>412</v>
      </c>
      <c r="AK125" s="615" t="s">
        <v>413</v>
      </c>
      <c r="AL125" s="616" t="s">
        <v>414</v>
      </c>
      <c r="AM125" s="769"/>
      <c r="AN125" s="769"/>
      <c r="AO125" s="769"/>
      <c r="AP125" s="769"/>
      <c r="AQ125" s="1251"/>
      <c r="AR125" s="1249"/>
      <c r="AS125" s="1249"/>
      <c r="AT125" s="1249"/>
    </row>
    <row r="126" spans="1:46" ht="14.25" customHeight="1">
      <c r="A126" s="601"/>
      <c r="B126" s="1620" t="s">
        <v>426</v>
      </c>
      <c r="C126" s="4148" t="s">
        <v>511</v>
      </c>
      <c r="D126" s="4149"/>
      <c r="E126" s="671"/>
      <c r="F126" s="2138" t="s">
        <v>15</v>
      </c>
      <c r="G126" s="2136" t="s">
        <v>149</v>
      </c>
      <c r="H126" s="2381"/>
      <c r="I126" s="2435" t="s">
        <v>512</v>
      </c>
      <c r="J126" s="2721" t="s">
        <v>142</v>
      </c>
      <c r="K126" s="2721" t="s">
        <v>142</v>
      </c>
      <c r="L126" s="2721" t="s">
        <v>142</v>
      </c>
      <c r="M126" s="2722" t="s">
        <v>142</v>
      </c>
      <c r="N126" s="4134" t="s">
        <v>397</v>
      </c>
      <c r="O126" s="4135"/>
      <c r="P126" s="4135"/>
      <c r="Q126" s="4135"/>
      <c r="R126" s="4135"/>
      <c r="S126" s="4136"/>
      <c r="T126" s="2565"/>
      <c r="U126" s="1151">
        <f t="shared" si="54"/>
        <v>11.799999999999974</v>
      </c>
      <c r="V126" s="1151">
        <f t="shared" si="55"/>
        <v>334.52409999999924</v>
      </c>
      <c r="W126" s="108"/>
      <c r="X126" s="790" t="s">
        <v>141</v>
      </c>
      <c r="Y126" s="615" t="s">
        <v>141</v>
      </c>
      <c r="Z126" s="615" t="s">
        <v>141</v>
      </c>
      <c r="AA126" s="615" t="s">
        <v>141</v>
      </c>
      <c r="AB126" s="615" t="s">
        <v>141</v>
      </c>
      <c r="AC126" s="615" t="s">
        <v>141</v>
      </c>
      <c r="AD126" s="615" t="s">
        <v>141</v>
      </c>
      <c r="AE126" s="615" t="s">
        <v>141</v>
      </c>
      <c r="AF126" s="615" t="s">
        <v>141</v>
      </c>
      <c r="AG126" s="615" t="s">
        <v>141</v>
      </c>
      <c r="AH126" s="791" t="s">
        <v>141</v>
      </c>
      <c r="AI126" s="1881" t="s">
        <v>433</v>
      </c>
      <c r="AJ126" s="615" t="s">
        <v>141</v>
      </c>
      <c r="AK126" s="615" t="s">
        <v>141</v>
      </c>
      <c r="AL126" s="616" t="s">
        <v>141</v>
      </c>
      <c r="AM126" s="1143" t="s">
        <v>412</v>
      </c>
      <c r="AN126" s="1143" t="s">
        <v>413</v>
      </c>
      <c r="AO126" s="1143" t="s">
        <v>415</v>
      </c>
      <c r="AP126" s="769"/>
      <c r="AQ126" s="1251"/>
      <c r="AR126" s="1249"/>
      <c r="AS126" s="1249"/>
      <c r="AT126" s="1249"/>
    </row>
    <row r="127" spans="1:46" ht="14.25" customHeight="1">
      <c r="A127" s="601"/>
      <c r="B127" s="637">
        <v>0</v>
      </c>
      <c r="C127" s="2437" t="s">
        <v>434</v>
      </c>
      <c r="D127" s="2435"/>
      <c r="E127" s="2447"/>
      <c r="F127" s="673"/>
      <c r="G127" s="621">
        <f>F127*29.5735</f>
        <v>0</v>
      </c>
      <c r="H127" s="661">
        <f>B127*G127</f>
        <v>0</v>
      </c>
      <c r="I127" s="624">
        <v>11</v>
      </c>
      <c r="J127" s="624">
        <v>0.69</v>
      </c>
      <c r="K127" s="623">
        <v>0.01</v>
      </c>
      <c r="L127" s="664">
        <f t="shared" ref="L127:L137" si="73">I127*1.01</f>
        <v>11.11</v>
      </c>
      <c r="M127" s="625">
        <v>0.2</v>
      </c>
      <c r="N127" s="214">
        <v>0</v>
      </c>
      <c r="O127" s="215">
        <v>115</v>
      </c>
      <c r="P127" s="215">
        <v>0.02</v>
      </c>
      <c r="Q127" s="215">
        <v>0.1</v>
      </c>
      <c r="R127" s="215">
        <v>4.9000000000000002E-2</v>
      </c>
      <c r="S127" s="216">
        <v>0.03</v>
      </c>
      <c r="T127" s="2565"/>
      <c r="U127" s="1151">
        <f t="shared" si="54"/>
        <v>11.899999999999974</v>
      </c>
      <c r="V127" s="1151">
        <f t="shared" si="55"/>
        <v>337.35904999999923</v>
      </c>
      <c r="W127" s="108"/>
      <c r="X127" s="796">
        <f>($G127*I127/100)</f>
        <v>0</v>
      </c>
      <c r="Y127" s="786">
        <f>($G127*(1+J127*0.00375)*J127/100)</f>
        <v>0</v>
      </c>
      <c r="Z127" s="786">
        <f>($G127*(1+K127*0.00375)*K127/100)</f>
        <v>0</v>
      </c>
      <c r="AA127" s="786">
        <f>G127*(L127-I127)/100</f>
        <v>0</v>
      </c>
      <c r="AB127" s="786">
        <f>G127*M127/1200</f>
        <v>0</v>
      </c>
      <c r="AC127" s="787">
        <f t="shared" ref="AC127:AH127" si="74">$G127*N127/100</f>
        <v>0</v>
      </c>
      <c r="AD127" s="787">
        <f t="shared" si="74"/>
        <v>0</v>
      </c>
      <c r="AE127" s="787">
        <f t="shared" si="74"/>
        <v>0</v>
      </c>
      <c r="AF127" s="787">
        <f t="shared" si="74"/>
        <v>0</v>
      </c>
      <c r="AG127" s="787">
        <f t="shared" si="74"/>
        <v>0</v>
      </c>
      <c r="AH127" s="788">
        <f t="shared" si="74"/>
        <v>0</v>
      </c>
      <c r="AI127" s="1889"/>
      <c r="AJ127" s="787">
        <f>$G127*AM127/100</f>
        <v>0</v>
      </c>
      <c r="AK127" s="787">
        <f>$G127*AN127/100</f>
        <v>0</v>
      </c>
      <c r="AL127" s="792">
        <f>$G127*AO127/100</f>
        <v>0</v>
      </c>
      <c r="AM127" s="1138">
        <v>7</v>
      </c>
      <c r="AN127" s="769">
        <v>3</v>
      </c>
      <c r="AO127" s="769">
        <v>7</v>
      </c>
      <c r="AP127" s="769"/>
      <c r="AQ127" s="1251"/>
      <c r="AR127" s="1249"/>
      <c r="AS127" s="1249"/>
      <c r="AT127" s="1249"/>
    </row>
    <row r="128" spans="1:46" ht="14.25" customHeight="1">
      <c r="A128" s="601"/>
      <c r="B128" s="637">
        <v>0</v>
      </c>
      <c r="C128" s="2437" t="s">
        <v>455</v>
      </c>
      <c r="D128" s="2435"/>
      <c r="E128" s="2447"/>
      <c r="F128" s="673"/>
      <c r="G128" s="621">
        <f t="shared" ref="G128:G139" si="75">F128*29.5735</f>
        <v>0</v>
      </c>
      <c r="H128" s="661">
        <f t="shared" ref="H128:H138" si="76">B128*G128</f>
        <v>0</v>
      </c>
      <c r="I128" s="623">
        <v>12</v>
      </c>
      <c r="J128" s="674">
        <v>0.8</v>
      </c>
      <c r="K128" s="623">
        <v>0.2</v>
      </c>
      <c r="L128" s="664">
        <f t="shared" si="73"/>
        <v>12.120000000000001</v>
      </c>
      <c r="M128" s="627">
        <v>0.2</v>
      </c>
      <c r="N128" s="215">
        <v>0.1</v>
      </c>
      <c r="O128" s="215">
        <v>75</v>
      </c>
      <c r="P128" s="215">
        <v>8.9999999999999993E-3</v>
      </c>
      <c r="Q128" s="215">
        <v>9.0999999999999998E-2</v>
      </c>
      <c r="R128" s="215">
        <v>0</v>
      </c>
      <c r="S128" s="216">
        <v>5.1999999999999998E-2</v>
      </c>
      <c r="T128" s="2565"/>
      <c r="U128" s="1151">
        <f t="shared" si="54"/>
        <v>11.999999999999973</v>
      </c>
      <c r="V128" s="1151">
        <f t="shared" si="55"/>
        <v>340.19399999999922</v>
      </c>
      <c r="W128" s="108"/>
      <c r="X128" s="796">
        <f t="shared" ref="X128:X138" si="77">($G128*I128/100)</f>
        <v>0</v>
      </c>
      <c r="Y128" s="786">
        <f t="shared" ref="Y128:Y138" si="78">($G128*(1+J128*0.00375)*J128/100)</f>
        <v>0</v>
      </c>
      <c r="Z128" s="786">
        <f t="shared" ref="Z128:Z138" si="79">($G128*(1+K128*0.00375)*K128/100)</f>
        <v>0</v>
      </c>
      <c r="AA128" s="786">
        <f t="shared" ref="AA128:AA138" si="80">G128*(L128-I128)/100</f>
        <v>0</v>
      </c>
      <c r="AB128" s="786">
        <f t="shared" ref="AB128:AB138" si="81">G128*M128/1200</f>
        <v>0</v>
      </c>
      <c r="AC128" s="787">
        <f t="shared" ref="AC128:AC138" si="82">$G128*N128/100</f>
        <v>0</v>
      </c>
      <c r="AD128" s="787">
        <f t="shared" ref="AD128:AD138" si="83">$G128*O128/100</f>
        <v>0</v>
      </c>
      <c r="AE128" s="787">
        <f t="shared" ref="AE128:AE138" si="84">$G128*P128/100</f>
        <v>0</v>
      </c>
      <c r="AF128" s="787">
        <f t="shared" ref="AF128:AF138" si="85">$G128*Q128/100</f>
        <v>0</v>
      </c>
      <c r="AG128" s="787">
        <f t="shared" ref="AG128:AG138" si="86">$G128*R128/100</f>
        <v>0</v>
      </c>
      <c r="AH128" s="788">
        <f t="shared" ref="AH128:AH138" si="87">$G128*S128/100</f>
        <v>0</v>
      </c>
      <c r="AI128" s="1889"/>
      <c r="AJ128" s="787">
        <f t="shared" ref="AJ128:AJ138" si="88">$G128*AM128/100</f>
        <v>0</v>
      </c>
      <c r="AK128" s="787">
        <f t="shared" ref="AK128:AK138" si="89">$G128*AN128/100</f>
        <v>0</v>
      </c>
      <c r="AL128" s="792">
        <f t="shared" ref="AL128:AL138" si="90">$G128*AO128/100</f>
        <v>0</v>
      </c>
      <c r="AM128" s="1138">
        <v>8</v>
      </c>
      <c r="AN128" s="769">
        <v>6</v>
      </c>
      <c r="AO128" s="769">
        <v>13</v>
      </c>
      <c r="AP128" s="769"/>
      <c r="AQ128" s="1251"/>
      <c r="AR128" s="1249"/>
      <c r="AS128" s="1249"/>
      <c r="AT128" s="1249"/>
    </row>
    <row r="129" spans="1:46" ht="14.25" customHeight="1">
      <c r="A129" s="601"/>
      <c r="B129" s="637">
        <v>0</v>
      </c>
      <c r="C129" s="2437" t="s">
        <v>462</v>
      </c>
      <c r="D129" s="2436" t="s">
        <v>467</v>
      </c>
      <c r="E129" s="2447"/>
      <c r="F129" s="673"/>
      <c r="G129" s="621">
        <f t="shared" si="75"/>
        <v>0</v>
      </c>
      <c r="H129" s="661">
        <f t="shared" si="76"/>
        <v>0</v>
      </c>
      <c r="I129" s="624">
        <v>15.6</v>
      </c>
      <c r="J129" s="624">
        <v>0.72</v>
      </c>
      <c r="K129" s="624">
        <v>0.02</v>
      </c>
      <c r="L129" s="664">
        <f t="shared" si="73"/>
        <v>15.756</v>
      </c>
      <c r="M129" s="627">
        <v>0.2</v>
      </c>
      <c r="N129" s="214">
        <v>380</v>
      </c>
      <c r="O129" s="215">
        <v>130</v>
      </c>
      <c r="P129" s="215">
        <v>0.03</v>
      </c>
      <c r="Q129" s="215">
        <v>0.26</v>
      </c>
      <c r="R129" s="215">
        <v>4.8000000000000001E-2</v>
      </c>
      <c r="S129" s="216">
        <v>7.0000000000000007E-2</v>
      </c>
      <c r="T129" s="2565"/>
      <c r="U129" s="1151">
        <f t="shared" si="54"/>
        <v>12.099999999999973</v>
      </c>
      <c r="V129" s="1151">
        <f t="shared" si="55"/>
        <v>343.02894999999921</v>
      </c>
      <c r="W129" s="108"/>
      <c r="X129" s="796">
        <f t="shared" si="77"/>
        <v>0</v>
      </c>
      <c r="Y129" s="786">
        <f t="shared" si="78"/>
        <v>0</v>
      </c>
      <c r="Z129" s="786">
        <f t="shared" si="79"/>
        <v>0</v>
      </c>
      <c r="AA129" s="786">
        <f t="shared" si="80"/>
        <v>0</v>
      </c>
      <c r="AB129" s="786">
        <f t="shared" si="81"/>
        <v>0</v>
      </c>
      <c r="AC129" s="787">
        <f t="shared" si="82"/>
        <v>0</v>
      </c>
      <c r="AD129" s="787">
        <f t="shared" si="83"/>
        <v>0</v>
      </c>
      <c r="AE129" s="787">
        <f t="shared" si="84"/>
        <v>0</v>
      </c>
      <c r="AF129" s="787">
        <f t="shared" si="85"/>
        <v>0</v>
      </c>
      <c r="AG129" s="787">
        <f t="shared" si="86"/>
        <v>0</v>
      </c>
      <c r="AH129" s="788">
        <f t="shared" si="87"/>
        <v>0</v>
      </c>
      <c r="AI129" s="1889" t="s">
        <v>464</v>
      </c>
      <c r="AJ129" s="787">
        <f t="shared" si="88"/>
        <v>0</v>
      </c>
      <c r="AK129" s="787">
        <f t="shared" si="89"/>
        <v>0</v>
      </c>
      <c r="AL129" s="792">
        <f t="shared" si="90"/>
        <v>0</v>
      </c>
      <c r="AM129" s="1138">
        <v>11</v>
      </c>
      <c r="AN129" s="769">
        <v>10</v>
      </c>
      <c r="AO129" s="769">
        <v>11</v>
      </c>
      <c r="AP129" s="769"/>
      <c r="AQ129" s="1251"/>
      <c r="AR129" s="1249"/>
      <c r="AS129" s="1249"/>
      <c r="AT129" s="1249"/>
    </row>
    <row r="130" spans="1:46" ht="14.25" customHeight="1">
      <c r="A130" s="601"/>
      <c r="B130" s="637">
        <v>0</v>
      </c>
      <c r="C130" s="2437"/>
      <c r="D130" s="2436" t="s">
        <v>454</v>
      </c>
      <c r="E130" s="2447"/>
      <c r="F130" s="673"/>
      <c r="G130" s="621">
        <f t="shared" si="75"/>
        <v>0</v>
      </c>
      <c r="H130" s="661">
        <f t="shared" si="76"/>
        <v>0</v>
      </c>
      <c r="I130" s="624">
        <v>15.6</v>
      </c>
      <c r="J130" s="624">
        <v>0.72</v>
      </c>
      <c r="K130" s="623">
        <v>0.2</v>
      </c>
      <c r="L130" s="664">
        <f t="shared" si="73"/>
        <v>15.756</v>
      </c>
      <c r="M130" s="627">
        <v>0.2</v>
      </c>
      <c r="N130" s="214">
        <v>380</v>
      </c>
      <c r="O130" s="215">
        <v>130</v>
      </c>
      <c r="P130" s="215">
        <v>0.03</v>
      </c>
      <c r="Q130" s="215">
        <v>0.26</v>
      </c>
      <c r="R130" s="215">
        <v>4.8000000000000001E-2</v>
      </c>
      <c r="S130" s="216">
        <v>7.0000000000000007E-2</v>
      </c>
      <c r="T130" s="2565"/>
      <c r="U130" s="1151">
        <f t="shared" si="54"/>
        <v>12.199999999999973</v>
      </c>
      <c r="V130" s="1151">
        <f t="shared" si="55"/>
        <v>345.86389999999921</v>
      </c>
      <c r="W130" s="108"/>
      <c r="X130" s="796">
        <f t="shared" si="77"/>
        <v>0</v>
      </c>
      <c r="Y130" s="786">
        <f t="shared" si="78"/>
        <v>0</v>
      </c>
      <c r="Z130" s="786">
        <f t="shared" si="79"/>
        <v>0</v>
      </c>
      <c r="AA130" s="786">
        <f t="shared" si="80"/>
        <v>0</v>
      </c>
      <c r="AB130" s="786">
        <f t="shared" si="81"/>
        <v>0</v>
      </c>
      <c r="AC130" s="787">
        <f t="shared" si="82"/>
        <v>0</v>
      </c>
      <c r="AD130" s="787">
        <f t="shared" si="83"/>
        <v>0</v>
      </c>
      <c r="AE130" s="787">
        <f t="shared" si="84"/>
        <v>0</v>
      </c>
      <c r="AF130" s="787">
        <f t="shared" si="85"/>
        <v>0</v>
      </c>
      <c r="AG130" s="787">
        <f t="shared" si="86"/>
        <v>0</v>
      </c>
      <c r="AH130" s="788">
        <f t="shared" si="87"/>
        <v>0</v>
      </c>
      <c r="AI130" s="1889" t="s">
        <v>464</v>
      </c>
      <c r="AJ130" s="787">
        <f t="shared" si="88"/>
        <v>0</v>
      </c>
      <c r="AK130" s="787">
        <f t="shared" si="89"/>
        <v>0</v>
      </c>
      <c r="AL130" s="792">
        <f t="shared" si="90"/>
        <v>0</v>
      </c>
      <c r="AM130" s="1138">
        <v>11</v>
      </c>
      <c r="AN130" s="769">
        <v>10</v>
      </c>
      <c r="AO130" s="769">
        <v>11</v>
      </c>
      <c r="AP130" s="769"/>
      <c r="AQ130" s="1251"/>
      <c r="AR130" s="1249"/>
      <c r="AS130" s="1249"/>
      <c r="AT130" s="1249"/>
    </row>
    <row r="131" spans="1:46" ht="14.25" customHeight="1">
      <c r="A131" s="601"/>
      <c r="B131" s="637">
        <v>0</v>
      </c>
      <c r="C131" s="2437" t="s">
        <v>470</v>
      </c>
      <c r="D131" s="2436"/>
      <c r="E131" s="2447"/>
      <c r="F131" s="673"/>
      <c r="G131" s="621">
        <f t="shared" si="75"/>
        <v>0</v>
      </c>
      <c r="H131" s="661">
        <f t="shared" si="76"/>
        <v>0</v>
      </c>
      <c r="I131" s="624">
        <v>9</v>
      </c>
      <c r="J131" s="624">
        <v>1.5</v>
      </c>
      <c r="K131" s="623">
        <v>0.01</v>
      </c>
      <c r="L131" s="664">
        <f t="shared" si="73"/>
        <v>9.09</v>
      </c>
      <c r="M131" s="627">
        <v>0.2</v>
      </c>
      <c r="N131" s="214">
        <v>0</v>
      </c>
      <c r="O131" s="215">
        <v>150</v>
      </c>
      <c r="P131" s="215">
        <v>4.2000000000000003E-2</v>
      </c>
      <c r="Q131" s="215">
        <v>0.23100000000000001</v>
      </c>
      <c r="R131" s="215">
        <v>0.13</v>
      </c>
      <c r="S131" s="216">
        <v>0.02</v>
      </c>
      <c r="T131" s="2565"/>
      <c r="U131" s="1151">
        <f t="shared" si="54"/>
        <v>12.299999999999972</v>
      </c>
      <c r="V131" s="1151">
        <f t="shared" si="55"/>
        <v>348.6988499999992</v>
      </c>
      <c r="W131" s="108"/>
      <c r="X131" s="796">
        <f t="shared" si="77"/>
        <v>0</v>
      </c>
      <c r="Y131" s="786">
        <f t="shared" si="78"/>
        <v>0</v>
      </c>
      <c r="Z131" s="786">
        <f t="shared" si="79"/>
        <v>0</v>
      </c>
      <c r="AA131" s="786">
        <f t="shared" si="80"/>
        <v>0</v>
      </c>
      <c r="AB131" s="786">
        <f t="shared" si="81"/>
        <v>0</v>
      </c>
      <c r="AC131" s="787">
        <f t="shared" si="82"/>
        <v>0</v>
      </c>
      <c r="AD131" s="787">
        <f t="shared" si="83"/>
        <v>0</v>
      </c>
      <c r="AE131" s="787">
        <f t="shared" si="84"/>
        <v>0</v>
      </c>
      <c r="AF131" s="787">
        <f t="shared" si="85"/>
        <v>0</v>
      </c>
      <c r="AG131" s="787">
        <f t="shared" si="86"/>
        <v>0</v>
      </c>
      <c r="AH131" s="788">
        <f t="shared" si="87"/>
        <v>0</v>
      </c>
      <c r="AI131" s="1883" t="s">
        <v>25</v>
      </c>
      <c r="AJ131" s="787">
        <f t="shared" si="88"/>
        <v>0</v>
      </c>
      <c r="AK131" s="787">
        <f t="shared" si="89"/>
        <v>0</v>
      </c>
      <c r="AL131" s="792">
        <f t="shared" si="90"/>
        <v>0</v>
      </c>
      <c r="AM131" s="1138">
        <v>7</v>
      </c>
      <c r="AN131" s="769">
        <v>10</v>
      </c>
      <c r="AO131" s="769">
        <v>11</v>
      </c>
      <c r="AP131" s="769"/>
      <c r="AQ131" s="1251"/>
      <c r="AR131" s="1249"/>
      <c r="AS131" s="1249"/>
      <c r="AT131" s="1249"/>
    </row>
    <row r="132" spans="1:46" ht="14.25" customHeight="1">
      <c r="A132" s="601"/>
      <c r="B132" s="637">
        <v>0</v>
      </c>
      <c r="C132" s="2437" t="s">
        <v>513</v>
      </c>
      <c r="D132" s="2436"/>
      <c r="E132" s="2447"/>
      <c r="F132" s="673"/>
      <c r="G132" s="621">
        <f t="shared" si="75"/>
        <v>0</v>
      </c>
      <c r="H132" s="661">
        <f t="shared" si="76"/>
        <v>0</v>
      </c>
      <c r="I132" s="624">
        <v>10</v>
      </c>
      <c r="J132" s="624">
        <v>0.48</v>
      </c>
      <c r="K132" s="623">
        <v>0.01</v>
      </c>
      <c r="L132" s="665">
        <f t="shared" si="73"/>
        <v>10.1</v>
      </c>
      <c r="M132" s="627">
        <v>0.2</v>
      </c>
      <c r="N132" s="214">
        <v>50</v>
      </c>
      <c r="O132" s="214">
        <v>150</v>
      </c>
      <c r="P132" s="215">
        <v>0.04</v>
      </c>
      <c r="Q132" s="215">
        <v>0.4</v>
      </c>
      <c r="R132" s="215">
        <v>0.13</v>
      </c>
      <c r="S132" s="216">
        <v>0.02</v>
      </c>
      <c r="T132" s="2565"/>
      <c r="U132" s="1151">
        <f t="shared" si="54"/>
        <v>12.399999999999972</v>
      </c>
      <c r="V132" s="1151">
        <f t="shared" si="55"/>
        <v>351.53379999999919</v>
      </c>
      <c r="W132" s="108"/>
      <c r="X132" s="796">
        <f t="shared" si="77"/>
        <v>0</v>
      </c>
      <c r="Y132" s="786">
        <f t="shared" si="78"/>
        <v>0</v>
      </c>
      <c r="Z132" s="786">
        <f t="shared" si="79"/>
        <v>0</v>
      </c>
      <c r="AA132" s="786">
        <f t="shared" si="80"/>
        <v>0</v>
      </c>
      <c r="AB132" s="786">
        <f t="shared" si="81"/>
        <v>0</v>
      </c>
      <c r="AC132" s="787">
        <f t="shared" si="82"/>
        <v>0</v>
      </c>
      <c r="AD132" s="787">
        <f t="shared" si="83"/>
        <v>0</v>
      </c>
      <c r="AE132" s="787">
        <f t="shared" si="84"/>
        <v>0</v>
      </c>
      <c r="AF132" s="787">
        <f t="shared" si="85"/>
        <v>0</v>
      </c>
      <c r="AG132" s="787">
        <f t="shared" si="86"/>
        <v>0</v>
      </c>
      <c r="AH132" s="788">
        <f t="shared" si="87"/>
        <v>0</v>
      </c>
      <c r="AI132" s="1889"/>
      <c r="AJ132" s="787">
        <f t="shared" si="88"/>
        <v>0</v>
      </c>
      <c r="AK132" s="787">
        <f t="shared" si="89"/>
        <v>0</v>
      </c>
      <c r="AL132" s="792">
        <f t="shared" si="90"/>
        <v>0</v>
      </c>
      <c r="AM132" s="1884">
        <v>10</v>
      </c>
      <c r="AN132" s="1884">
        <v>10</v>
      </c>
      <c r="AO132" s="1884">
        <v>11</v>
      </c>
      <c r="AP132" s="769"/>
      <c r="AQ132" s="1251"/>
      <c r="AR132" s="1249"/>
      <c r="AS132" s="1249"/>
      <c r="AT132" s="1249"/>
    </row>
    <row r="133" spans="1:46" ht="14.25" customHeight="1">
      <c r="A133" s="601"/>
      <c r="B133" s="637">
        <v>0</v>
      </c>
      <c r="C133" s="2437" t="s">
        <v>482</v>
      </c>
      <c r="D133" s="2436"/>
      <c r="E133" s="2447"/>
      <c r="F133" s="673"/>
      <c r="G133" s="621">
        <f>F133*29.5735</f>
        <v>0</v>
      </c>
      <c r="H133" s="661">
        <f t="shared" si="76"/>
        <v>0</v>
      </c>
      <c r="I133" s="624">
        <v>8.4</v>
      </c>
      <c r="J133" s="624">
        <v>0.98</v>
      </c>
      <c r="K133" s="623">
        <v>0.01</v>
      </c>
      <c r="L133" s="664">
        <f t="shared" si="73"/>
        <v>8.484</v>
      </c>
      <c r="M133" s="627">
        <v>0.2</v>
      </c>
      <c r="N133" s="214">
        <v>290</v>
      </c>
      <c r="O133" s="215">
        <v>180</v>
      </c>
      <c r="P133" s="215">
        <v>0.04</v>
      </c>
      <c r="Q133" s="215">
        <v>0.2</v>
      </c>
      <c r="R133" s="215">
        <v>0.18</v>
      </c>
      <c r="S133" s="216">
        <v>0.03</v>
      </c>
      <c r="T133" s="2565"/>
      <c r="U133" s="1151">
        <f t="shared" si="54"/>
        <v>12.499999999999972</v>
      </c>
      <c r="V133" s="1151">
        <f t="shared" si="55"/>
        <v>354.36874999999918</v>
      </c>
      <c r="W133" s="108"/>
      <c r="X133" s="796">
        <f t="shared" si="77"/>
        <v>0</v>
      </c>
      <c r="Y133" s="786">
        <f t="shared" si="78"/>
        <v>0</v>
      </c>
      <c r="Z133" s="786">
        <f t="shared" si="79"/>
        <v>0</v>
      </c>
      <c r="AA133" s="786">
        <f t="shared" si="80"/>
        <v>0</v>
      </c>
      <c r="AB133" s="786">
        <f t="shared" si="81"/>
        <v>0</v>
      </c>
      <c r="AC133" s="787">
        <f t="shared" si="82"/>
        <v>0</v>
      </c>
      <c r="AD133" s="787">
        <f t="shared" si="83"/>
        <v>0</v>
      </c>
      <c r="AE133" s="787">
        <f t="shared" si="84"/>
        <v>0</v>
      </c>
      <c r="AF133" s="787">
        <f t="shared" si="85"/>
        <v>0</v>
      </c>
      <c r="AG133" s="787">
        <f t="shared" si="86"/>
        <v>0</v>
      </c>
      <c r="AH133" s="788">
        <f t="shared" si="87"/>
        <v>0</v>
      </c>
      <c r="AI133" s="1883" t="s">
        <v>25</v>
      </c>
      <c r="AJ133" s="787">
        <f t="shared" si="88"/>
        <v>0</v>
      </c>
      <c r="AK133" s="787">
        <f t="shared" si="89"/>
        <v>0</v>
      </c>
      <c r="AL133" s="792">
        <f t="shared" si="90"/>
        <v>0</v>
      </c>
      <c r="AM133" s="1138">
        <v>10</v>
      </c>
      <c r="AN133" s="769">
        <v>10</v>
      </c>
      <c r="AO133" s="769">
        <v>17</v>
      </c>
      <c r="AP133" s="769"/>
      <c r="AQ133" s="1251"/>
      <c r="AR133" s="1249"/>
      <c r="AS133" s="1249"/>
      <c r="AT133" s="1249"/>
    </row>
    <row r="134" spans="1:46" ht="14.25" customHeight="1">
      <c r="A134" s="601"/>
      <c r="B134" s="637">
        <v>0</v>
      </c>
      <c r="C134" s="2437" t="s">
        <v>514</v>
      </c>
      <c r="D134" s="2436"/>
      <c r="E134" s="2447"/>
      <c r="F134" s="673"/>
      <c r="G134" s="621">
        <f t="shared" si="75"/>
        <v>0</v>
      </c>
      <c r="H134" s="661">
        <f t="shared" si="76"/>
        <v>0</v>
      </c>
      <c r="I134" s="624">
        <v>10.4</v>
      </c>
      <c r="J134" s="623">
        <v>0.7</v>
      </c>
      <c r="K134" s="623">
        <v>0.1</v>
      </c>
      <c r="L134" s="665">
        <f t="shared" si="73"/>
        <v>10.504000000000001</v>
      </c>
      <c r="M134" s="627">
        <v>0.2</v>
      </c>
      <c r="N134" s="214">
        <v>50</v>
      </c>
      <c r="O134" s="215">
        <v>135</v>
      </c>
      <c r="P134" s="214">
        <v>0.04</v>
      </c>
      <c r="Q134" s="214">
        <v>0.2</v>
      </c>
      <c r="R134" s="214">
        <v>0.13</v>
      </c>
      <c r="S134" s="218">
        <v>0.02</v>
      </c>
      <c r="T134" s="2565"/>
      <c r="U134" s="1151">
        <f t="shared" si="54"/>
        <v>12.599999999999971</v>
      </c>
      <c r="V134" s="1151">
        <f t="shared" si="55"/>
        <v>357.20369999999917</v>
      </c>
      <c r="W134" s="108"/>
      <c r="X134" s="796">
        <f t="shared" si="77"/>
        <v>0</v>
      </c>
      <c r="Y134" s="786">
        <f t="shared" si="78"/>
        <v>0</v>
      </c>
      <c r="Z134" s="786">
        <f t="shared" si="79"/>
        <v>0</v>
      </c>
      <c r="AA134" s="786">
        <f t="shared" si="80"/>
        <v>0</v>
      </c>
      <c r="AB134" s="786">
        <f t="shared" si="81"/>
        <v>0</v>
      </c>
      <c r="AC134" s="787">
        <f t="shared" si="82"/>
        <v>0</v>
      </c>
      <c r="AD134" s="787">
        <f t="shared" si="83"/>
        <v>0</v>
      </c>
      <c r="AE134" s="787">
        <f t="shared" si="84"/>
        <v>0</v>
      </c>
      <c r="AF134" s="787">
        <f t="shared" si="85"/>
        <v>0</v>
      </c>
      <c r="AG134" s="787">
        <f t="shared" si="86"/>
        <v>0</v>
      </c>
      <c r="AH134" s="788">
        <f t="shared" si="87"/>
        <v>0</v>
      </c>
      <c r="AI134" s="1883" t="s">
        <v>25</v>
      </c>
      <c r="AJ134" s="787">
        <f t="shared" si="88"/>
        <v>0</v>
      </c>
      <c r="AK134" s="787">
        <f t="shared" si="89"/>
        <v>0</v>
      </c>
      <c r="AL134" s="792">
        <f t="shared" si="90"/>
        <v>0</v>
      </c>
      <c r="AM134" s="1138">
        <v>12</v>
      </c>
      <c r="AN134" s="769">
        <v>21</v>
      </c>
      <c r="AO134" s="769">
        <v>12</v>
      </c>
      <c r="AP134" s="769"/>
      <c r="AQ134" s="1251"/>
      <c r="AR134" s="1249"/>
      <c r="AS134" s="1249"/>
      <c r="AT134" s="1249"/>
    </row>
    <row r="135" spans="1:46" ht="14.25" customHeight="1">
      <c r="A135" s="601"/>
      <c r="B135" s="637">
        <v>0</v>
      </c>
      <c r="C135" s="2437" t="s">
        <v>514</v>
      </c>
      <c r="D135" s="2436" t="s">
        <v>515</v>
      </c>
      <c r="E135" s="2447"/>
      <c r="F135" s="673"/>
      <c r="G135" s="621">
        <f t="shared" si="75"/>
        <v>0</v>
      </c>
      <c r="H135" s="661">
        <f t="shared" si="76"/>
        <v>0</v>
      </c>
      <c r="I135" s="624">
        <v>58</v>
      </c>
      <c r="J135" s="623">
        <v>1.9</v>
      </c>
      <c r="K135" s="623">
        <v>0.5</v>
      </c>
      <c r="L135" s="665">
        <f t="shared" si="73"/>
        <v>58.58</v>
      </c>
      <c r="M135" s="627">
        <v>1</v>
      </c>
      <c r="N135" s="214">
        <v>200</v>
      </c>
      <c r="O135" s="214">
        <v>520</v>
      </c>
      <c r="P135" s="214">
        <f>5*P134</f>
        <v>0.2</v>
      </c>
      <c r="Q135" s="214">
        <f>5*Q134</f>
        <v>1</v>
      </c>
      <c r="R135" s="214">
        <f>5*R134</f>
        <v>0.65</v>
      </c>
      <c r="S135" s="218">
        <f>5*S134</f>
        <v>0.1</v>
      </c>
      <c r="T135" s="2565"/>
      <c r="U135" s="1151">
        <f t="shared" si="54"/>
        <v>12.699999999999971</v>
      </c>
      <c r="V135" s="1151">
        <f t="shared" si="55"/>
        <v>360.03864999999917</v>
      </c>
      <c r="W135" s="108"/>
      <c r="X135" s="796">
        <f t="shared" si="77"/>
        <v>0</v>
      </c>
      <c r="Y135" s="786">
        <f t="shared" si="78"/>
        <v>0</v>
      </c>
      <c r="Z135" s="786">
        <f t="shared" si="79"/>
        <v>0</v>
      </c>
      <c r="AA135" s="786">
        <f t="shared" si="80"/>
        <v>0</v>
      </c>
      <c r="AB135" s="786">
        <f t="shared" si="81"/>
        <v>0</v>
      </c>
      <c r="AC135" s="787">
        <f t="shared" si="82"/>
        <v>0</v>
      </c>
      <c r="AD135" s="787">
        <f t="shared" si="83"/>
        <v>0</v>
      </c>
      <c r="AE135" s="787">
        <f t="shared" si="84"/>
        <v>0</v>
      </c>
      <c r="AF135" s="787">
        <f t="shared" si="85"/>
        <v>0</v>
      </c>
      <c r="AG135" s="787">
        <f t="shared" si="86"/>
        <v>0</v>
      </c>
      <c r="AH135" s="788">
        <f t="shared" si="87"/>
        <v>0</v>
      </c>
      <c r="AI135" s="1883" t="s">
        <v>25</v>
      </c>
      <c r="AJ135" s="787">
        <f t="shared" si="88"/>
        <v>0</v>
      </c>
      <c r="AK135" s="787">
        <f t="shared" si="89"/>
        <v>0</v>
      </c>
      <c r="AL135" s="792">
        <f t="shared" si="90"/>
        <v>0</v>
      </c>
      <c r="AM135" s="1884">
        <v>48</v>
      </c>
      <c r="AN135" s="1884">
        <v>80</v>
      </c>
      <c r="AO135" s="1884">
        <v>48</v>
      </c>
      <c r="AP135" s="769"/>
      <c r="AQ135" s="1251"/>
      <c r="AR135" s="1249"/>
      <c r="AS135" s="1249"/>
      <c r="AT135" s="1249"/>
    </row>
    <row r="136" spans="1:46" ht="14.25" customHeight="1">
      <c r="A136" s="601"/>
      <c r="B136" s="637">
        <v>0</v>
      </c>
      <c r="C136" s="2437" t="s">
        <v>516</v>
      </c>
      <c r="D136" s="2436" t="s">
        <v>515</v>
      </c>
      <c r="E136" s="2447"/>
      <c r="F136" s="673"/>
      <c r="G136" s="621">
        <f t="shared" si="75"/>
        <v>0</v>
      </c>
      <c r="H136" s="661">
        <f t="shared" si="76"/>
        <v>0</v>
      </c>
      <c r="I136" s="624">
        <v>50</v>
      </c>
      <c r="J136" s="623">
        <v>1.5</v>
      </c>
      <c r="K136" s="623">
        <v>0.2</v>
      </c>
      <c r="L136" s="665">
        <f t="shared" si="73"/>
        <v>50.5</v>
      </c>
      <c r="M136" s="627">
        <v>1</v>
      </c>
      <c r="N136" s="214">
        <v>200</v>
      </c>
      <c r="O136" s="214">
        <v>520</v>
      </c>
      <c r="P136" s="214">
        <v>0.2</v>
      </c>
      <c r="Q136" s="214">
        <v>1</v>
      </c>
      <c r="R136" s="214">
        <v>0.65</v>
      </c>
      <c r="S136" s="218">
        <v>0.1</v>
      </c>
      <c r="T136" s="2565"/>
      <c r="U136" s="1151">
        <f t="shared" si="54"/>
        <v>12.799999999999971</v>
      </c>
      <c r="V136" s="1151">
        <f t="shared" si="55"/>
        <v>362.87359999999916</v>
      </c>
      <c r="W136" s="108"/>
      <c r="X136" s="796">
        <f t="shared" si="77"/>
        <v>0</v>
      </c>
      <c r="Y136" s="786">
        <f t="shared" si="78"/>
        <v>0</v>
      </c>
      <c r="Z136" s="786">
        <f t="shared" si="79"/>
        <v>0</v>
      </c>
      <c r="AA136" s="786">
        <f t="shared" si="80"/>
        <v>0</v>
      </c>
      <c r="AB136" s="786">
        <f t="shared" si="81"/>
        <v>0</v>
      </c>
      <c r="AC136" s="787">
        <f t="shared" si="82"/>
        <v>0</v>
      </c>
      <c r="AD136" s="787">
        <f t="shared" si="83"/>
        <v>0</v>
      </c>
      <c r="AE136" s="787">
        <f t="shared" si="84"/>
        <v>0</v>
      </c>
      <c r="AF136" s="787">
        <f t="shared" si="85"/>
        <v>0</v>
      </c>
      <c r="AG136" s="787">
        <f t="shared" si="86"/>
        <v>0</v>
      </c>
      <c r="AH136" s="788">
        <f t="shared" si="87"/>
        <v>0</v>
      </c>
      <c r="AI136" s="1889"/>
      <c r="AJ136" s="787">
        <f t="shared" si="88"/>
        <v>0</v>
      </c>
      <c r="AK136" s="787">
        <f t="shared" si="89"/>
        <v>0</v>
      </c>
      <c r="AL136" s="792">
        <f t="shared" si="90"/>
        <v>0</v>
      </c>
      <c r="AM136" s="1884">
        <v>48</v>
      </c>
      <c r="AN136" s="1884">
        <v>80</v>
      </c>
      <c r="AO136" s="1884">
        <v>48</v>
      </c>
      <c r="AP136" s="769"/>
      <c r="AQ136" s="1251"/>
      <c r="AR136" s="1249"/>
      <c r="AS136" s="1249"/>
      <c r="AT136" s="1249"/>
    </row>
    <row r="137" spans="1:46" ht="14.25" customHeight="1">
      <c r="A137" s="601"/>
      <c r="B137" s="637">
        <v>0</v>
      </c>
      <c r="C137" s="2437" t="s">
        <v>487</v>
      </c>
      <c r="D137" s="2436"/>
      <c r="E137" s="2447"/>
      <c r="F137" s="673"/>
      <c r="G137" s="621">
        <f t="shared" si="75"/>
        <v>0</v>
      </c>
      <c r="H137" s="661">
        <f t="shared" si="76"/>
        <v>0</v>
      </c>
      <c r="I137" s="624">
        <v>13</v>
      </c>
      <c r="J137" s="624">
        <v>0.8</v>
      </c>
      <c r="K137" s="623">
        <v>0.01</v>
      </c>
      <c r="L137" s="665">
        <f t="shared" si="73"/>
        <v>13.13</v>
      </c>
      <c r="M137" s="627">
        <v>0.2</v>
      </c>
      <c r="N137" s="214">
        <v>50</v>
      </c>
      <c r="O137" s="215">
        <v>130</v>
      </c>
      <c r="P137" s="215">
        <v>0.06</v>
      </c>
      <c r="Q137" s="215">
        <v>0.2</v>
      </c>
      <c r="R137" s="215">
        <v>5.6000000000000001E-2</v>
      </c>
      <c r="S137" s="216">
        <v>0.1</v>
      </c>
      <c r="T137" s="2565"/>
      <c r="U137" s="1151">
        <f t="shared" ref="U137:U185" si="91">U136+0.1</f>
        <v>12.89999999999997</v>
      </c>
      <c r="V137" s="1151">
        <f t="shared" si="55"/>
        <v>365.70854999999915</v>
      </c>
      <c r="W137" s="108"/>
      <c r="X137" s="796">
        <f t="shared" si="77"/>
        <v>0</v>
      </c>
      <c r="Y137" s="786">
        <f t="shared" si="78"/>
        <v>0</v>
      </c>
      <c r="Z137" s="786">
        <f t="shared" si="79"/>
        <v>0</v>
      </c>
      <c r="AA137" s="786">
        <f t="shared" si="80"/>
        <v>0</v>
      </c>
      <c r="AB137" s="786">
        <f t="shared" si="81"/>
        <v>0</v>
      </c>
      <c r="AC137" s="787">
        <f t="shared" si="82"/>
        <v>0</v>
      </c>
      <c r="AD137" s="787">
        <f t="shared" si="83"/>
        <v>0</v>
      </c>
      <c r="AE137" s="787">
        <f t="shared" si="84"/>
        <v>0</v>
      </c>
      <c r="AF137" s="787">
        <f t="shared" si="85"/>
        <v>0</v>
      </c>
      <c r="AG137" s="787">
        <f t="shared" si="86"/>
        <v>0</v>
      </c>
      <c r="AH137" s="788">
        <f t="shared" si="87"/>
        <v>0</v>
      </c>
      <c r="AI137" s="1889" t="s">
        <v>25</v>
      </c>
      <c r="AJ137" s="787">
        <f t="shared" si="88"/>
        <v>0</v>
      </c>
      <c r="AK137" s="787">
        <f t="shared" si="89"/>
        <v>0</v>
      </c>
      <c r="AL137" s="792">
        <f t="shared" si="90"/>
        <v>0</v>
      </c>
      <c r="AM137" s="1138">
        <v>13</v>
      </c>
      <c r="AN137" s="769">
        <v>12</v>
      </c>
      <c r="AO137" s="769">
        <v>8</v>
      </c>
      <c r="AP137" s="769"/>
      <c r="AQ137" s="1251"/>
      <c r="AR137" s="1249"/>
      <c r="AS137" s="1249"/>
      <c r="AT137" s="1249"/>
    </row>
    <row r="138" spans="1:46" ht="14.25" customHeight="1">
      <c r="A138" s="601"/>
      <c r="B138" s="637">
        <v>0</v>
      </c>
      <c r="C138" s="2437" t="s">
        <v>517</v>
      </c>
      <c r="D138" s="2447"/>
      <c r="E138" s="2447"/>
      <c r="F138" s="673"/>
      <c r="G138" s="621">
        <f t="shared" si="75"/>
        <v>0</v>
      </c>
      <c r="H138" s="661">
        <f t="shared" si="76"/>
        <v>0</v>
      </c>
      <c r="I138" s="624">
        <v>13</v>
      </c>
      <c r="J138" s="623">
        <v>0.5</v>
      </c>
      <c r="K138" s="623">
        <v>0.01</v>
      </c>
      <c r="L138" s="665">
        <f>I138*1.3</f>
        <v>16.900000000000002</v>
      </c>
      <c r="M138" s="627">
        <v>1.2</v>
      </c>
      <c r="N138" s="214">
        <v>50</v>
      </c>
      <c r="O138" s="215">
        <v>276</v>
      </c>
      <c r="P138" s="215">
        <v>1.6E-2</v>
      </c>
      <c r="Q138" s="215">
        <v>0.78500000000000003</v>
      </c>
      <c r="R138" s="215">
        <v>0.107</v>
      </c>
      <c r="S138" s="216">
        <v>0.218</v>
      </c>
      <c r="T138" s="2565"/>
      <c r="U138" s="1151">
        <f t="shared" si="91"/>
        <v>12.99999999999997</v>
      </c>
      <c r="V138" s="1151">
        <f t="shared" si="55"/>
        <v>368.54349999999914</v>
      </c>
      <c r="W138" s="108"/>
      <c r="X138" s="796">
        <f t="shared" si="77"/>
        <v>0</v>
      </c>
      <c r="Y138" s="786">
        <f t="shared" si="78"/>
        <v>0</v>
      </c>
      <c r="Z138" s="786">
        <f t="shared" si="79"/>
        <v>0</v>
      </c>
      <c r="AA138" s="786">
        <f t="shared" si="80"/>
        <v>0</v>
      </c>
      <c r="AB138" s="786">
        <f t="shared" si="81"/>
        <v>0</v>
      </c>
      <c r="AC138" s="787">
        <f t="shared" si="82"/>
        <v>0</v>
      </c>
      <c r="AD138" s="787">
        <f t="shared" si="83"/>
        <v>0</v>
      </c>
      <c r="AE138" s="787">
        <f t="shared" si="84"/>
        <v>0</v>
      </c>
      <c r="AF138" s="787">
        <f t="shared" si="85"/>
        <v>0</v>
      </c>
      <c r="AG138" s="787">
        <f t="shared" si="86"/>
        <v>0</v>
      </c>
      <c r="AH138" s="788">
        <f t="shared" si="87"/>
        <v>0</v>
      </c>
      <c r="AI138" s="1889" t="s">
        <v>436</v>
      </c>
      <c r="AJ138" s="787">
        <f t="shared" si="88"/>
        <v>0</v>
      </c>
      <c r="AK138" s="787">
        <f t="shared" si="89"/>
        <v>0</v>
      </c>
      <c r="AL138" s="792">
        <f t="shared" si="90"/>
        <v>0</v>
      </c>
      <c r="AM138" s="1138">
        <v>12</v>
      </c>
      <c r="AN138" s="769">
        <v>14</v>
      </c>
      <c r="AO138" s="769">
        <v>25</v>
      </c>
      <c r="AP138" s="769"/>
      <c r="AQ138" s="1251"/>
      <c r="AR138" s="1249"/>
      <c r="AS138" s="1249"/>
      <c r="AT138" s="1249"/>
    </row>
    <row r="139" spans="1:46" ht="14.25" customHeight="1">
      <c r="A139" s="601"/>
      <c r="B139" s="675">
        <v>0</v>
      </c>
      <c r="C139" s="2448" t="s">
        <v>75</v>
      </c>
      <c r="D139" s="2449"/>
      <c r="E139" s="2449"/>
      <c r="F139" s="676"/>
      <c r="G139" s="677">
        <f t="shared" si="75"/>
        <v>0</v>
      </c>
      <c r="H139" s="661">
        <f>B139*G139</f>
        <v>0</v>
      </c>
      <c r="I139" s="222"/>
      <c r="J139" s="222"/>
      <c r="K139" s="222"/>
      <c r="L139" s="222"/>
      <c r="M139" s="222"/>
      <c r="N139" s="678"/>
      <c r="O139" s="222"/>
      <c r="P139" s="222"/>
      <c r="Q139" s="222"/>
      <c r="R139" s="222"/>
      <c r="S139" s="223"/>
      <c r="T139" s="2565"/>
      <c r="U139" s="1151">
        <f t="shared" si="91"/>
        <v>13.099999999999969</v>
      </c>
      <c r="V139" s="1151">
        <f t="shared" si="55"/>
        <v>371.37844999999913</v>
      </c>
      <c r="W139" s="108"/>
      <c r="X139" s="797">
        <f>($G139*I139/100)</f>
        <v>0</v>
      </c>
      <c r="Y139" s="798">
        <f>($G139*(1+J139*0.00375)*J139/100)</f>
        <v>0</v>
      </c>
      <c r="Z139" s="798">
        <f>($G139*(1+K139*0.00375)*K139/100)</f>
        <v>0</v>
      </c>
      <c r="AA139" s="798">
        <f>G139*(L139-I139)/100</f>
        <v>0</v>
      </c>
      <c r="AB139" s="798">
        <f>G139*M139/1200</f>
        <v>0</v>
      </c>
      <c r="AC139" s="799">
        <f t="shared" ref="AC139:AH139" si="92">$G139*N139/100</f>
        <v>0</v>
      </c>
      <c r="AD139" s="799">
        <f t="shared" si="92"/>
        <v>0</v>
      </c>
      <c r="AE139" s="799">
        <f t="shared" si="92"/>
        <v>0</v>
      </c>
      <c r="AF139" s="799">
        <f t="shared" si="92"/>
        <v>0</v>
      </c>
      <c r="AG139" s="799">
        <f t="shared" si="92"/>
        <v>0</v>
      </c>
      <c r="AH139" s="800">
        <f t="shared" si="92"/>
        <v>0</v>
      </c>
      <c r="AI139" s="1251"/>
      <c r="AJ139" s="1251"/>
      <c r="AK139" s="1251"/>
      <c r="AL139" s="1251"/>
      <c r="AM139" s="1251"/>
      <c r="AN139" s="1251"/>
      <c r="AO139" s="1251"/>
      <c r="AP139" s="1251"/>
      <c r="AQ139" s="1251"/>
      <c r="AR139" s="1890"/>
      <c r="AS139" s="1141"/>
      <c r="AT139" s="1141"/>
    </row>
    <row r="140" spans="1:46" ht="14.25" customHeight="1">
      <c r="A140" s="601"/>
      <c r="B140" s="4156" t="s">
        <v>305</v>
      </c>
      <c r="C140" s="4156"/>
      <c r="D140" s="4156"/>
      <c r="E140" s="679">
        <f>SUM(E24:E139)</f>
        <v>4</v>
      </c>
      <c r="F140" s="679">
        <f>SUM(F24:F139)+F147</f>
        <v>5</v>
      </c>
      <c r="G140" s="680">
        <f>375*(G147)/(Q147-1000)</f>
        <v>1311.1875</v>
      </c>
      <c r="H140" s="681">
        <f>SUM(H24:H139)</f>
        <v>362.88000000000005</v>
      </c>
      <c r="I140" s="134"/>
      <c r="J140" s="134"/>
      <c r="K140" s="682"/>
      <c r="L140" s="682"/>
      <c r="M140" s="683"/>
      <c r="N140" s="683"/>
      <c r="O140" s="683"/>
      <c r="P140" s="683"/>
      <c r="Q140" s="683"/>
      <c r="R140" s="683"/>
      <c r="S140" s="683"/>
      <c r="T140" s="684"/>
      <c r="U140" s="1151">
        <f t="shared" si="91"/>
        <v>13.199999999999969</v>
      </c>
      <c r="V140" s="1151">
        <f t="shared" si="55"/>
        <v>374.21339999999913</v>
      </c>
      <c r="W140" s="2328"/>
      <c r="X140" s="721"/>
      <c r="Y140" s="721"/>
      <c r="Z140" s="721"/>
      <c r="AA140" s="721"/>
      <c r="AB140" s="721"/>
      <c r="AC140" s="2329"/>
      <c r="AD140" s="2329"/>
      <c r="AE140" s="2329"/>
      <c r="AF140" s="2329"/>
      <c r="AG140" s="2329"/>
      <c r="AH140" s="2329"/>
      <c r="AI140" s="721"/>
      <c r="AJ140" s="1891"/>
      <c r="AK140" s="1138"/>
      <c r="AL140" s="1892"/>
      <c r="AM140" s="1141"/>
      <c r="AN140" s="769"/>
      <c r="AO140" s="769"/>
      <c r="AP140" s="769"/>
      <c r="AQ140" s="1251"/>
      <c r="AR140" s="1141"/>
      <c r="AS140" s="1141"/>
      <c r="AT140" s="1141"/>
    </row>
    <row r="141" spans="1:46" ht="14.25" customHeight="1">
      <c r="A141" s="601"/>
      <c r="B141" s="4157"/>
      <c r="C141" s="4157"/>
      <c r="D141" s="4157"/>
      <c r="E141" s="4154" t="s">
        <v>655</v>
      </c>
      <c r="F141" s="4155"/>
      <c r="G141" s="4033" t="s">
        <v>129</v>
      </c>
      <c r="H141" s="4033"/>
      <c r="I141" s="4033"/>
      <c r="J141" s="4033"/>
      <c r="K141" s="4033"/>
      <c r="L141" s="4033"/>
      <c r="M141" s="4034"/>
      <c r="N141" s="684"/>
      <c r="O141" s="684"/>
      <c r="P141" s="684"/>
      <c r="Q141" s="684"/>
      <c r="R141" s="684"/>
      <c r="S141" s="684"/>
      <c r="T141" s="684"/>
      <c r="U141" s="1151">
        <f t="shared" si="91"/>
        <v>13.299999999999969</v>
      </c>
      <c r="V141" s="1151">
        <f t="shared" si="55"/>
        <v>377.04834999999912</v>
      </c>
      <c r="W141" s="1623"/>
      <c r="X141" s="3627" t="s">
        <v>1651</v>
      </c>
      <c r="Y141" s="3627"/>
      <c r="Z141" s="3627"/>
      <c r="AA141" s="3627"/>
      <c r="AB141" s="3627"/>
      <c r="AC141" s="2321"/>
      <c r="AD141" s="2321"/>
      <c r="AE141" s="2321"/>
      <c r="AF141" s="2329"/>
      <c r="AG141" s="2329"/>
      <c r="AH141" s="2329"/>
      <c r="AI141" s="721"/>
      <c r="AJ141" s="3954" t="s">
        <v>232</v>
      </c>
      <c r="AK141" s="3954"/>
      <c r="AL141" s="3954"/>
      <c r="AM141" s="3954"/>
      <c r="AN141" s="3954"/>
      <c r="AO141" s="3954"/>
      <c r="AP141" s="3954"/>
      <c r="AQ141" s="1251"/>
      <c r="AR141" s="1141"/>
      <c r="AS141" s="1141"/>
      <c r="AT141" s="1141"/>
    </row>
    <row r="142" spans="1:46" ht="14.25" customHeight="1">
      <c r="A142" s="601"/>
      <c r="B142" s="4157"/>
      <c r="C142" s="4157"/>
      <c r="D142" s="4157"/>
      <c r="E142" s="4154"/>
      <c r="F142" s="4155"/>
      <c r="G142" s="144" t="s">
        <v>288</v>
      </c>
      <c r="H142" s="685"/>
      <c r="I142" s="123" t="s">
        <v>400</v>
      </c>
      <c r="J142" s="124" t="s">
        <v>140</v>
      </c>
      <c r="K142" s="124" t="s">
        <v>401</v>
      </c>
      <c r="L142" s="124" t="s">
        <v>402</v>
      </c>
      <c r="M142" s="124" t="s">
        <v>403</v>
      </c>
      <c r="N142" s="683"/>
      <c r="O142" s="683"/>
      <c r="P142" s="683"/>
      <c r="Q142" s="683"/>
      <c r="R142" s="683"/>
      <c r="S142" s="683"/>
      <c r="T142" s="684"/>
      <c r="U142" s="1151">
        <f t="shared" si="91"/>
        <v>13.399999999999968</v>
      </c>
      <c r="V142" s="1151">
        <f>U142*28.3495</f>
        <v>379.88329999999911</v>
      </c>
      <c r="W142" s="1623"/>
      <c r="X142" s="2458" t="s">
        <v>1652</v>
      </c>
      <c r="Y142" s="2454" t="s">
        <v>1653</v>
      </c>
      <c r="Z142" s="2458" t="s">
        <v>1654</v>
      </c>
      <c r="AA142" s="2321"/>
      <c r="AB142" s="2458" t="s">
        <v>1653</v>
      </c>
      <c r="AC142" s="2454" t="s">
        <v>1652</v>
      </c>
      <c r="AD142" s="2458" t="s">
        <v>1654</v>
      </c>
      <c r="AE142" s="2321"/>
      <c r="AF142" s="2458" t="s">
        <v>1654</v>
      </c>
      <c r="AG142" s="2454" t="s">
        <v>1652</v>
      </c>
      <c r="AH142" s="2458" t="s">
        <v>1653</v>
      </c>
      <c r="AI142" s="721"/>
      <c r="AJ142" s="1891"/>
      <c r="AK142" s="1138"/>
      <c r="AL142" s="1892"/>
      <c r="AM142" s="1141"/>
      <c r="AN142" s="769"/>
      <c r="AO142" s="769"/>
      <c r="AP142" s="769"/>
      <c r="AQ142" s="1251"/>
      <c r="AR142" s="1141"/>
      <c r="AS142" s="1141"/>
      <c r="AT142" s="1141"/>
    </row>
    <row r="143" spans="1:46" ht="14.25" customHeight="1">
      <c r="A143" s="601"/>
      <c r="B143" s="4157"/>
      <c r="C143" s="4157"/>
      <c r="D143" s="4157"/>
      <c r="E143" s="686" t="str">
        <f>(E140+INT(F140/16+E147))&amp;" lb"</f>
        <v>6 lb</v>
      </c>
      <c r="F143" s="687" t="str">
        <f>FIXED(MOD(F140,16),0)&amp;" oz"</f>
        <v>5 oz</v>
      </c>
      <c r="G143" s="123">
        <f>SUM(G14:G139)</f>
        <v>1814.4</v>
      </c>
      <c r="H143" s="123" t="str">
        <f>Y145&amp;"g"</f>
        <v>12g</v>
      </c>
      <c r="I143" s="123">
        <f>G147+SUM(X14:X139)</f>
        <v>1068.9084</v>
      </c>
      <c r="J143" s="688">
        <f>G149-(G148*5/3)+SUM(Y14:Y139)</f>
        <v>27.216000000000005</v>
      </c>
      <c r="K143" s="689">
        <f>SUM(Z14:Z139)+453.6*(F153/16)</f>
        <v>1.8144000000000002</v>
      </c>
      <c r="L143" s="688">
        <f>SUM(AA14:AA139)</f>
        <v>61.689599999999999</v>
      </c>
      <c r="M143" s="690">
        <f>SUM(AB14:AB139)</f>
        <v>0.60480000000000012</v>
      </c>
      <c r="N143" s="683"/>
      <c r="O143" s="683"/>
      <c r="P143" s="683"/>
      <c r="Q143" s="683"/>
      <c r="R143" s="683"/>
      <c r="S143" s="683"/>
      <c r="T143" s="2565"/>
      <c r="U143" s="1151">
        <f t="shared" si="91"/>
        <v>13.499999999999968</v>
      </c>
      <c r="V143" s="1151">
        <f t="shared" ref="V143:V185" si="93">U143*28.3495</f>
        <v>382.7182499999991</v>
      </c>
      <c r="W143" s="108"/>
      <c r="X143" s="2726">
        <v>1</v>
      </c>
      <c r="Y143" s="2352">
        <f>X143*6/5</f>
        <v>1.2</v>
      </c>
      <c r="Z143" s="2327">
        <f t="shared" ref="Z143:Z149" si="94">3.7854*Y143/8</f>
        <v>0.56781000000000004</v>
      </c>
      <c r="AA143" s="2321"/>
      <c r="AB143" s="2726">
        <v>1</v>
      </c>
      <c r="AC143" s="2453">
        <f>AB143*(5/6)</f>
        <v>0.83333333333333337</v>
      </c>
      <c r="AD143" s="2327">
        <f>3.7854*AB143/8</f>
        <v>0.47317500000000001</v>
      </c>
      <c r="AE143" s="2321"/>
      <c r="AF143" s="2726">
        <v>1</v>
      </c>
      <c r="AG143" s="2453">
        <f t="shared" ref="AG143:AG149" si="95">AH143*(5/6)</f>
        <v>1.7611524981948188</v>
      </c>
      <c r="AH143" s="2340">
        <f>8*AF143/3.7854</f>
        <v>2.1133829978337824</v>
      </c>
      <c r="AI143" s="721"/>
      <c r="AJ143" s="661"/>
      <c r="AK143" s="1139"/>
      <c r="AL143" s="774"/>
      <c r="AM143" s="1893"/>
      <c r="AN143" s="1894"/>
      <c r="AO143" s="769"/>
      <c r="AP143" s="769"/>
      <c r="AQ143" s="1251"/>
      <c r="AR143" s="1141"/>
      <c r="AS143" s="1141"/>
      <c r="AT143" s="1141"/>
    </row>
    <row r="144" spans="1:46" ht="14.25" customHeight="1">
      <c r="A144" s="601"/>
      <c r="B144" s="2566"/>
      <c r="C144" s="2566"/>
      <c r="D144" s="1951"/>
      <c r="E144" s="1951"/>
      <c r="F144" s="1951"/>
      <c r="G144" s="1952"/>
      <c r="H144" s="1952"/>
      <c r="I144" s="1952"/>
      <c r="J144" s="1953"/>
      <c r="K144" s="1954"/>
      <c r="L144" s="1953"/>
      <c r="M144" s="1955"/>
      <c r="N144" s="683"/>
      <c r="O144" s="683"/>
      <c r="P144" s="683"/>
      <c r="Q144" s="683"/>
      <c r="R144" s="683"/>
      <c r="S144" s="683"/>
      <c r="T144" s="2565"/>
      <c r="U144" s="1151">
        <f t="shared" si="91"/>
        <v>13.599999999999968</v>
      </c>
      <c r="V144" s="1151">
        <f t="shared" ref="V144:V145" si="96">U144*28.3495</f>
        <v>385.55319999999909</v>
      </c>
      <c r="W144" s="108"/>
      <c r="X144" s="2726">
        <v>2</v>
      </c>
      <c r="Y144" s="2352">
        <f t="shared" ref="Y144:Y149" si="97">X144*6/5</f>
        <v>2.4</v>
      </c>
      <c r="Z144" s="2327">
        <f t="shared" si="94"/>
        <v>1.1356200000000001</v>
      </c>
      <c r="AA144" s="2321"/>
      <c r="AB144" s="2726">
        <v>2</v>
      </c>
      <c r="AC144" s="2453">
        <f t="shared" ref="AC144:AC149" si="98">AB144*(5/6)</f>
        <v>1.6666666666666667</v>
      </c>
      <c r="AD144" s="2327">
        <f t="shared" ref="AD144:AD149" si="99">3.7854*AB144/8</f>
        <v>0.94635000000000002</v>
      </c>
      <c r="AE144" s="2321"/>
      <c r="AF144" s="2726">
        <v>2</v>
      </c>
      <c r="AG144" s="2453">
        <f t="shared" si="95"/>
        <v>3.5223049963896376</v>
      </c>
      <c r="AH144" s="2340">
        <f t="shared" ref="AH144:AH149" si="100">8*AF144/3.7854</f>
        <v>4.2267659956675647</v>
      </c>
      <c r="AI144" s="721"/>
      <c r="AJ144" s="661"/>
      <c r="AK144" s="1139"/>
      <c r="AL144" s="774"/>
      <c r="AM144" s="1893"/>
      <c r="AN144" s="1894"/>
      <c r="AO144" s="769"/>
      <c r="AP144" s="769"/>
      <c r="AQ144" s="1251"/>
      <c r="AR144" s="1141"/>
      <c r="AS144" s="1141"/>
      <c r="AT144" s="1141"/>
    </row>
    <row r="145" spans="1:46" ht="14.25" customHeight="1">
      <c r="A145" s="601"/>
      <c r="B145" s="2565"/>
      <c r="C145" s="1006"/>
      <c r="D145" s="692"/>
      <c r="E145" s="4150" t="s">
        <v>139</v>
      </c>
      <c r="F145" s="4150"/>
      <c r="G145" s="1956"/>
      <c r="H145" s="692"/>
      <c r="I145" s="692"/>
      <c r="J145" s="692"/>
      <c r="K145" s="692"/>
      <c r="L145" s="692"/>
      <c r="M145" s="692"/>
      <c r="N145" s="683"/>
      <c r="O145" s="683"/>
      <c r="P145" s="683"/>
      <c r="Q145" s="683"/>
      <c r="R145" s="683"/>
      <c r="S145" s="683"/>
      <c r="T145" s="2565"/>
      <c r="U145" s="1151">
        <f t="shared" si="91"/>
        <v>13.699999999999967</v>
      </c>
      <c r="V145" s="1151">
        <f t="shared" si="96"/>
        <v>388.38814999999909</v>
      </c>
      <c r="W145" s="1624"/>
      <c r="X145" s="2726">
        <v>10</v>
      </c>
      <c r="Y145" s="2352">
        <f t="shared" si="97"/>
        <v>12</v>
      </c>
      <c r="Z145" s="2327">
        <f t="shared" si="94"/>
        <v>5.6781000000000006</v>
      </c>
      <c r="AA145" s="2321"/>
      <c r="AB145" s="2726">
        <v>23</v>
      </c>
      <c r="AC145" s="2453">
        <f t="shared" si="98"/>
        <v>19.166666666666668</v>
      </c>
      <c r="AD145" s="2327">
        <f t="shared" si="99"/>
        <v>10.883025</v>
      </c>
      <c r="AE145" s="2321"/>
      <c r="AF145" s="2726">
        <v>2.5</v>
      </c>
      <c r="AG145" s="2453">
        <f t="shared" si="95"/>
        <v>4.4028812454870474</v>
      </c>
      <c r="AH145" s="2340">
        <f t="shared" si="100"/>
        <v>5.2834574945844563</v>
      </c>
      <c r="AI145" s="721"/>
      <c r="AJ145" s="661"/>
      <c r="AK145" s="1139"/>
      <c r="AL145" s="774"/>
      <c r="AM145" s="1893"/>
      <c r="AN145" s="1894"/>
      <c r="AO145" s="769"/>
      <c r="AP145" s="769"/>
      <c r="AQ145" s="1251"/>
      <c r="AR145" s="1141"/>
      <c r="AS145" s="1141"/>
      <c r="AT145" s="1141"/>
    </row>
    <row r="146" spans="1:46" ht="14.25" customHeight="1">
      <c r="A146" s="601"/>
      <c r="B146" s="2565"/>
      <c r="C146" s="1006"/>
      <c r="D146" s="1006"/>
      <c r="E146" s="2571" t="s">
        <v>295</v>
      </c>
      <c r="F146" s="2571" t="s">
        <v>23</v>
      </c>
      <c r="G146" s="172"/>
      <c r="H146" s="1006"/>
      <c r="I146" s="1006"/>
      <c r="J146" s="1006"/>
      <c r="K146" s="1006"/>
      <c r="L146" s="1006"/>
      <c r="M146" s="1006"/>
      <c r="N146" s="1006"/>
      <c r="O146" s="1006"/>
      <c r="P146" s="1006"/>
      <c r="Q146" s="1006"/>
      <c r="R146" s="692"/>
      <c r="S146" s="692"/>
      <c r="T146" s="693"/>
      <c r="U146" s="1151">
        <f t="shared" si="91"/>
        <v>13.799999999999967</v>
      </c>
      <c r="V146" s="1151">
        <f t="shared" si="93"/>
        <v>391.22309999999902</v>
      </c>
      <c r="W146" s="1616"/>
      <c r="X146" s="2726">
        <v>23</v>
      </c>
      <c r="Y146" s="2352">
        <f t="shared" si="97"/>
        <v>27.6</v>
      </c>
      <c r="Z146" s="2327">
        <f t="shared" si="94"/>
        <v>13.05963</v>
      </c>
      <c r="AA146" s="2321"/>
      <c r="AB146" s="2726">
        <v>25</v>
      </c>
      <c r="AC146" s="2453">
        <f t="shared" si="98"/>
        <v>20.833333333333336</v>
      </c>
      <c r="AD146" s="2327">
        <f t="shared" si="99"/>
        <v>11.829375000000001</v>
      </c>
      <c r="AE146" s="2321"/>
      <c r="AF146" s="2726">
        <v>3.5</v>
      </c>
      <c r="AG146" s="2453">
        <f t="shared" si="95"/>
        <v>6.1640337436818662</v>
      </c>
      <c r="AH146" s="2340">
        <f t="shared" si="100"/>
        <v>7.3968404924182387</v>
      </c>
      <c r="AI146" s="721"/>
      <c r="AJ146" s="661"/>
      <c r="AK146" s="1139"/>
      <c r="AL146" s="774"/>
      <c r="AM146" s="1893"/>
      <c r="AN146" s="1894"/>
      <c r="AO146" s="769"/>
      <c r="AP146" s="769"/>
      <c r="AQ146" s="1251"/>
      <c r="AR146" s="1141"/>
      <c r="AS146" s="1141"/>
      <c r="AT146" s="1141"/>
    </row>
    <row r="147" spans="1:46" ht="14.25" customHeight="1">
      <c r="A147" s="601"/>
      <c r="B147" s="2565"/>
      <c r="C147" s="4016" t="s">
        <v>518</v>
      </c>
      <c r="D147" s="4016"/>
      <c r="E147" s="662">
        <v>2</v>
      </c>
      <c r="F147" s="663">
        <v>5</v>
      </c>
      <c r="G147" s="694">
        <f>453.6*(E147+F147/16)</f>
        <v>1048.95</v>
      </c>
      <c r="H147" s="695"/>
      <c r="I147" s="4152" t="str">
        <f>"g, add to "&amp;ROUND((375*G147)/(Q147-1000)-0.58*G147, -1)&amp;"ml hot water (NOT BOILING) to obtain "&amp;ROUND(G140,-1)&amp;"ml of sugar syrup with an S.G. of approx."</f>
        <v>g, add to 700ml hot water (NOT BOILING) to obtain 1310ml of sugar syrup with an S.G. of approx.</v>
      </c>
      <c r="J147" s="4152"/>
      <c r="K147" s="4152"/>
      <c r="L147" s="4152"/>
      <c r="M147" s="4152"/>
      <c r="N147" s="4152"/>
      <c r="O147" s="4152"/>
      <c r="P147" s="4152"/>
      <c r="Q147" s="2724">
        <v>1300</v>
      </c>
      <c r="R147" s="4158" t="s">
        <v>519</v>
      </c>
      <c r="S147" s="4158"/>
      <c r="T147" s="1251"/>
      <c r="U147" s="1151">
        <f t="shared" si="91"/>
        <v>13.899999999999967</v>
      </c>
      <c r="V147" s="1151">
        <f t="shared" si="93"/>
        <v>394.05804999999901</v>
      </c>
      <c r="W147" s="1624"/>
      <c r="X147" s="2726">
        <v>25</v>
      </c>
      <c r="Y147" s="2352">
        <f t="shared" si="97"/>
        <v>30</v>
      </c>
      <c r="Z147" s="2327">
        <f t="shared" si="94"/>
        <v>14.19525</v>
      </c>
      <c r="AA147" s="2321"/>
      <c r="AB147" s="2726">
        <v>26</v>
      </c>
      <c r="AC147" s="2453">
        <f t="shared" si="98"/>
        <v>21.666666666666668</v>
      </c>
      <c r="AD147" s="2327">
        <f t="shared" si="99"/>
        <v>12.30255</v>
      </c>
      <c r="AE147" s="2321"/>
      <c r="AF147" s="2726">
        <v>4.5</v>
      </c>
      <c r="AG147" s="2453">
        <f t="shared" si="95"/>
        <v>7.9251862418766841</v>
      </c>
      <c r="AH147" s="2340">
        <f t="shared" si="100"/>
        <v>9.5102234902520202</v>
      </c>
      <c r="AI147" s="721"/>
      <c r="AJ147" s="661"/>
      <c r="AK147" s="1139"/>
      <c r="AL147" s="774"/>
      <c r="AM147" s="1893"/>
      <c r="AN147" s="1894"/>
      <c r="AO147" s="769"/>
      <c r="AP147" s="769"/>
      <c r="AQ147" s="1251"/>
      <c r="AR147" s="1141"/>
      <c r="AS147" s="1141"/>
      <c r="AT147" s="1141"/>
    </row>
    <row r="148" spans="1:46" ht="14.25" customHeight="1">
      <c r="A148" s="601"/>
      <c r="B148" s="2565"/>
      <c r="C148" s="4040" t="s">
        <v>520</v>
      </c>
      <c r="D148" s="4040"/>
      <c r="E148" s="696"/>
      <c r="F148" s="2723">
        <v>0</v>
      </c>
      <c r="G148" s="697">
        <f>453.6*(F148/16)</f>
        <v>0</v>
      </c>
      <c r="H148" s="692"/>
      <c r="I148" s="4151" t="str">
        <f>"g = "&amp;FIXED(G148/4.5)&amp;" tsp OR calcium carbonate (precipitated chalk) for acid reduction"</f>
        <v>g = 0.00 tsp OR calcium carbonate (precipitated chalk) for acid reduction</v>
      </c>
      <c r="J148" s="4151"/>
      <c r="K148" s="4151"/>
      <c r="L148" s="4151"/>
      <c r="M148" s="4151"/>
      <c r="N148" s="4151"/>
      <c r="O148" s="4151"/>
      <c r="P148" s="1229"/>
      <c r="Q148" s="1230"/>
      <c r="R148" s="1230"/>
      <c r="S148" s="692"/>
      <c r="T148" s="595"/>
      <c r="U148" s="1151">
        <f t="shared" si="91"/>
        <v>13.999999999999966</v>
      </c>
      <c r="V148" s="1151">
        <f t="shared" si="93"/>
        <v>396.89299999999901</v>
      </c>
      <c r="W148" s="1624"/>
      <c r="X148" s="2726">
        <v>26</v>
      </c>
      <c r="Y148" s="2352">
        <f t="shared" si="97"/>
        <v>31.2</v>
      </c>
      <c r="Z148" s="2327">
        <f t="shared" si="94"/>
        <v>14.763059999999999</v>
      </c>
      <c r="AA148" s="2321"/>
      <c r="AB148" s="2726">
        <v>27</v>
      </c>
      <c r="AC148" s="2453">
        <f t="shared" si="98"/>
        <v>22.5</v>
      </c>
      <c r="AD148" s="2327">
        <f t="shared" si="99"/>
        <v>12.775725</v>
      </c>
      <c r="AE148" s="2321"/>
      <c r="AF148" s="2726">
        <v>23</v>
      </c>
      <c r="AG148" s="2453">
        <f t="shared" si="95"/>
        <v>40.506507458480833</v>
      </c>
      <c r="AH148" s="2340">
        <f t="shared" si="100"/>
        <v>48.607808950176995</v>
      </c>
      <c r="AI148" s="721"/>
      <c r="AJ148" s="2465"/>
      <c r="AK148" s="2465"/>
      <c r="AL148" s="2465"/>
      <c r="AM148" s="2465"/>
      <c r="AN148" s="2465"/>
      <c r="AO148" s="2465"/>
      <c r="AP148" s="2465"/>
      <c r="AQ148" s="1251"/>
      <c r="AR148" s="1895"/>
      <c r="AS148" s="1895"/>
      <c r="AT148" s="1141"/>
    </row>
    <row r="149" spans="1:46" ht="14.25" customHeight="1">
      <c r="A149" s="601"/>
      <c r="B149" s="2565"/>
      <c r="C149" s="4040" t="s">
        <v>521</v>
      </c>
      <c r="D149" s="4040"/>
      <c r="E149" s="696"/>
      <c r="F149" s="2723">
        <v>0</v>
      </c>
      <c r="G149" s="698">
        <f>453.6*(F149/16)</f>
        <v>0</v>
      </c>
      <c r="H149" s="1006"/>
      <c r="I149" s="4153" t="str">
        <f>"g = "&amp;FIXED(G149/5)&amp;" tsp TARTARIC"</f>
        <v>g = 0.00 tsp TARTARIC</v>
      </c>
      <c r="J149" s="4153"/>
      <c r="K149" s="4046" t="str">
        <f>"OR = "&amp;FIXED(G149/0.853)&amp;"g = "&amp;FIXED(G149/(0.853*4.9),2)&amp;" tsp CITRIC"</f>
        <v>OR = 0.00g = 0.00 tsp CITRIC</v>
      </c>
      <c r="L149" s="4046"/>
      <c r="M149" s="4046"/>
      <c r="N149" s="4046"/>
      <c r="O149" s="2546"/>
      <c r="P149" s="2564"/>
      <c r="Q149" s="1229"/>
      <c r="R149" s="1229"/>
      <c r="S149" s="1229"/>
      <c r="T149" s="595"/>
      <c r="U149" s="1151">
        <f t="shared" si="91"/>
        <v>14.099999999999966</v>
      </c>
      <c r="V149" s="1151">
        <f t="shared" si="93"/>
        <v>399.727949999999</v>
      </c>
      <c r="W149" s="1624"/>
      <c r="X149" s="2726">
        <v>27</v>
      </c>
      <c r="Y149" s="2352">
        <f t="shared" si="97"/>
        <v>32.4</v>
      </c>
      <c r="Z149" s="2327">
        <f t="shared" si="94"/>
        <v>15.330869999999999</v>
      </c>
      <c r="AA149" s="2321"/>
      <c r="AB149" s="2726">
        <v>28</v>
      </c>
      <c r="AC149" s="2453">
        <f t="shared" si="98"/>
        <v>23.333333333333336</v>
      </c>
      <c r="AD149" s="2327">
        <f t="shared" si="99"/>
        <v>13.248900000000001</v>
      </c>
      <c r="AE149" s="2321"/>
      <c r="AF149" s="2726">
        <v>24</v>
      </c>
      <c r="AG149" s="2453">
        <f t="shared" si="95"/>
        <v>42.267659956675651</v>
      </c>
      <c r="AH149" s="2340">
        <f t="shared" si="100"/>
        <v>50.721191948010777</v>
      </c>
      <c r="AI149" s="721"/>
      <c r="AJ149" s="2465"/>
      <c r="AK149" s="2465"/>
      <c r="AL149" s="2465"/>
      <c r="AM149" s="2465"/>
      <c r="AN149" s="2465"/>
      <c r="AO149" s="2465"/>
      <c r="AP149" s="2465"/>
      <c r="AQ149" s="1251"/>
      <c r="AR149" s="1895"/>
      <c r="AS149" s="1895"/>
      <c r="AT149" s="1141"/>
    </row>
    <row r="150" spans="1:46" ht="14.25" customHeight="1">
      <c r="A150" s="601"/>
      <c r="B150" s="2565"/>
      <c r="C150" s="2565"/>
      <c r="D150" s="2565"/>
      <c r="E150" s="2565"/>
      <c r="F150" s="2565"/>
      <c r="G150" s="2565"/>
      <c r="H150" s="2565"/>
      <c r="I150" s="2565"/>
      <c r="J150" s="2565"/>
      <c r="K150" s="4036" t="str">
        <f>"OR = "&amp;FIXED(G149/0.893)&amp;"g = "&amp;FIXED(G149/(0.893*4.5),2)&amp;" tsp MALIC"</f>
        <v>OR = 0.00g = 0.00 tsp MALIC</v>
      </c>
      <c r="L150" s="4036"/>
      <c r="M150" s="4036"/>
      <c r="N150" s="4036"/>
      <c r="O150" s="2546"/>
      <c r="P150" s="2564"/>
      <c r="Q150" s="1229"/>
      <c r="R150" s="1230"/>
      <c r="S150" s="692"/>
      <c r="T150" s="595"/>
      <c r="U150" s="1151">
        <f t="shared" si="91"/>
        <v>14.199999999999966</v>
      </c>
      <c r="V150" s="1151">
        <f t="shared" si="93"/>
        <v>402.56289999999899</v>
      </c>
      <c r="W150" s="1624"/>
      <c r="X150" s="2321"/>
      <c r="Y150" s="2321"/>
      <c r="Z150" s="2321"/>
      <c r="AA150" s="2321"/>
      <c r="AB150" s="2321"/>
      <c r="AC150" s="2321"/>
      <c r="AD150" s="2318"/>
      <c r="AE150" s="2318"/>
      <c r="AF150" s="2318"/>
      <c r="AG150" s="2318"/>
      <c r="AH150" s="2318"/>
      <c r="AI150" s="721"/>
      <c r="AJ150" s="2465"/>
      <c r="AK150" s="2465"/>
      <c r="AL150" s="2465"/>
      <c r="AM150" s="2465"/>
      <c r="AN150" s="2465"/>
      <c r="AO150" s="2465"/>
      <c r="AP150" s="2465"/>
      <c r="AQ150" s="1251"/>
      <c r="AR150" s="1895"/>
      <c r="AS150" s="1895"/>
      <c r="AT150" s="1141"/>
    </row>
    <row r="151" spans="1:46" ht="14.25" customHeight="1">
      <c r="A151" s="601"/>
      <c r="B151" s="2565"/>
      <c r="C151" s="2565"/>
      <c r="D151" s="2565"/>
      <c r="E151" s="2565"/>
      <c r="F151" s="691" t="s">
        <v>139</v>
      </c>
      <c r="G151" s="683"/>
      <c r="H151" s="2565"/>
      <c r="I151" s="2565"/>
      <c r="J151" s="2565"/>
      <c r="K151" s="4036" t="str">
        <f>"OR = "&amp;FIXED(G149/(0.92))&amp;"g = "&amp;FIXED(G149/(0.92*4.5),2)&amp;" tsp ACID BLEND"</f>
        <v>OR = 0.00g = 0.00 tsp ACID BLEND</v>
      </c>
      <c r="L151" s="4036"/>
      <c r="M151" s="4036"/>
      <c r="N151" s="4036"/>
      <c r="O151" s="2546"/>
      <c r="P151" s="2564"/>
      <c r="Q151" s="1229"/>
      <c r="R151" s="1229"/>
      <c r="S151" s="1229"/>
      <c r="T151" s="595"/>
      <c r="U151" s="1151">
        <f t="shared" si="91"/>
        <v>14.299999999999965</v>
      </c>
      <c r="V151" s="1151">
        <f t="shared" si="93"/>
        <v>405.39784999999898</v>
      </c>
      <c r="W151" s="108"/>
      <c r="X151" s="3627" t="s">
        <v>1655</v>
      </c>
      <c r="Y151" s="3627"/>
      <c r="Z151" s="3627"/>
      <c r="AA151" s="3627"/>
      <c r="AB151" s="3627"/>
      <c r="AC151" s="1545"/>
      <c r="AD151" s="2321"/>
      <c r="AE151" s="2321"/>
      <c r="AF151" s="2321"/>
      <c r="AG151" s="2321"/>
      <c r="AH151" s="2321"/>
      <c r="AI151" s="721"/>
      <c r="AJ151" s="2465"/>
      <c r="AK151" s="2465"/>
      <c r="AL151" s="2465"/>
      <c r="AM151" s="2465"/>
      <c r="AN151" s="2465"/>
      <c r="AO151" s="2465"/>
      <c r="AP151" s="2465"/>
      <c r="AQ151" s="1251"/>
      <c r="AR151" s="1895"/>
      <c r="AS151" s="1895"/>
      <c r="AT151" s="1141"/>
    </row>
    <row r="152" spans="1:46" ht="14.25" customHeight="1">
      <c r="A152" s="601"/>
      <c r="B152" s="2565"/>
      <c r="C152" s="2565"/>
      <c r="D152" s="2565"/>
      <c r="E152" s="2565"/>
      <c r="F152" s="2578" t="s">
        <v>23</v>
      </c>
      <c r="G152" s="146"/>
      <c r="H152" s="2565"/>
      <c r="I152" s="2565"/>
      <c r="J152" s="2565"/>
      <c r="K152" s="2546"/>
      <c r="L152" s="2546"/>
      <c r="M152" s="2546"/>
      <c r="N152" s="2546"/>
      <c r="O152" s="2546"/>
      <c r="P152" s="2564"/>
      <c r="Q152" s="1230"/>
      <c r="R152" s="1230"/>
      <c r="S152" s="692"/>
      <c r="T152" s="595"/>
      <c r="U152" s="1151">
        <f t="shared" si="91"/>
        <v>14.399999999999965</v>
      </c>
      <c r="V152" s="1151">
        <f t="shared" si="93"/>
        <v>408.23279999999897</v>
      </c>
      <c r="W152" s="108"/>
      <c r="X152" s="2461" t="s">
        <v>133</v>
      </c>
      <c r="Y152" s="2459" t="s">
        <v>23</v>
      </c>
      <c r="Z152" s="3171" t="s">
        <v>1656</v>
      </c>
      <c r="AA152" s="3173"/>
      <c r="AB152" s="2461" t="s">
        <v>295</v>
      </c>
      <c r="AC152" s="2321"/>
      <c r="AD152" s="2324" t="s">
        <v>981</v>
      </c>
      <c r="AE152" s="2325" t="s">
        <v>23</v>
      </c>
      <c r="AF152" s="2454" t="s">
        <v>23</v>
      </c>
      <c r="AG152" s="2458" t="s">
        <v>133</v>
      </c>
      <c r="AH152" s="2321"/>
      <c r="AI152" s="721"/>
      <c r="AJ152" s="1897"/>
      <c r="AK152" s="1149"/>
      <c r="AL152" s="634"/>
      <c r="AM152" s="1898"/>
      <c r="AN152" s="1899"/>
      <c r="AO152" s="2465"/>
      <c r="AP152" s="2465"/>
      <c r="AQ152" s="1251"/>
      <c r="AR152" s="2465"/>
      <c r="AS152" s="1900"/>
      <c r="AT152" s="1901"/>
    </row>
    <row r="153" spans="1:46" ht="14.25" customHeight="1">
      <c r="A153" s="601"/>
      <c r="B153" s="2565"/>
      <c r="C153" s="4040" t="s">
        <v>522</v>
      </c>
      <c r="D153" s="4017"/>
      <c r="E153" s="2565"/>
      <c r="F153" s="2642">
        <v>0</v>
      </c>
      <c r="G153" s="4035" t="str">
        <f>" = "&amp;FIXED(453.6*(F153/16))&amp;"g = "&amp;FIXED(453.6*(F153/16)/2.8)&amp;" tsp POWDER"</f>
        <v xml:space="preserve"> = 0.00g = 0.00 tsp POWDER</v>
      </c>
      <c r="H153" s="4035"/>
      <c r="I153" s="4035"/>
      <c r="J153" s="4035"/>
      <c r="K153" s="4036" t="str">
        <f>"OR = "&amp;FIXED((453.6*(F153/16)/2.8)*4.5*5,1)&amp;"g = "&amp;FIXED((453.6*(F153/16)/2.8)*4.5,1)&amp;" tsp LIQUID TANNIN"</f>
        <v>OR = 0.0g = 0.0 tsp LIQUID TANNIN</v>
      </c>
      <c r="L153" s="4036"/>
      <c r="M153" s="4036"/>
      <c r="N153" s="4036"/>
      <c r="O153" s="4036"/>
      <c r="P153" s="4036"/>
      <c r="Q153" s="1230"/>
      <c r="R153" s="1230"/>
      <c r="S153" s="692"/>
      <c r="T153" s="2551"/>
      <c r="U153" s="1151">
        <f t="shared" si="91"/>
        <v>14.499999999999964</v>
      </c>
      <c r="V153" s="1151">
        <f t="shared" si="93"/>
        <v>411.06774999999897</v>
      </c>
      <c r="W153" s="108"/>
      <c r="X153" s="2593">
        <v>1</v>
      </c>
      <c r="Y153" s="2323">
        <f t="shared" ref="Y153:Y159" si="101">16*AB153</f>
        <v>3.5273368606701938E-2</v>
      </c>
      <c r="Z153" s="3178" t="str">
        <f t="shared" ref="Z153:Z159" si="102">INT(Y153/16)&amp;" lb. "&amp;FIXED(Y153-16*INT(Y153/16),2)</f>
        <v>0 lb. 0.04</v>
      </c>
      <c r="AA153" s="3233"/>
      <c r="AB153" s="2323">
        <f t="shared" ref="AB153:AB159" si="103">X153/(1000*0.4536)</f>
        <v>2.2045855379188711E-3</v>
      </c>
      <c r="AC153" s="2321"/>
      <c r="AD153" s="2916"/>
      <c r="AE153" s="2727">
        <v>8</v>
      </c>
      <c r="AF153" s="2453">
        <f>AD153*16+AE153</f>
        <v>8</v>
      </c>
      <c r="AG153" s="2327">
        <f t="shared" ref="AG153:AG159" si="104">1000*(AD153+AE153/16)*0.4536</f>
        <v>226.8</v>
      </c>
      <c r="AH153" s="2321"/>
      <c r="AI153" s="721"/>
      <c r="AJ153" s="1897"/>
      <c r="AK153" s="1149"/>
      <c r="AL153" s="634"/>
      <c r="AM153" s="1898"/>
      <c r="AN153" s="1899"/>
      <c r="AO153" s="2465"/>
      <c r="AP153" s="2465"/>
      <c r="AQ153" s="1251"/>
      <c r="AR153" s="2465"/>
      <c r="AS153" s="2465"/>
      <c r="AT153" s="769"/>
    </row>
    <row r="154" spans="1:46" ht="14.25" customHeight="1">
      <c r="A154" s="601"/>
      <c r="B154" s="2565"/>
      <c r="C154" s="4058" t="s">
        <v>523</v>
      </c>
      <c r="D154" s="4058"/>
      <c r="E154" s="4058"/>
      <c r="F154" s="4058"/>
      <c r="G154" s="4058"/>
      <c r="H154" s="2552"/>
      <c r="I154" s="2476"/>
      <c r="J154" s="2476"/>
      <c r="K154" s="4036" t="str">
        <f>"OR = "&amp;FIXED(453.6*(F153/16)/0.216,1)&amp;" tea bag(s) OR = "&amp;FIXED((453.6*(F153/16)/0.216)*3,1)&amp;"g loose tea, mashed in a teapot"</f>
        <v>OR = 0.0 tea bag(s) OR = 0.0g loose tea, mashed in a teapot</v>
      </c>
      <c r="L154" s="4036"/>
      <c r="M154" s="4036"/>
      <c r="N154" s="4036"/>
      <c r="O154" s="4036"/>
      <c r="P154" s="4036"/>
      <c r="Q154" s="1230"/>
      <c r="R154" s="1230"/>
      <c r="S154" s="692"/>
      <c r="T154" s="2551"/>
      <c r="U154" s="1151">
        <f t="shared" si="91"/>
        <v>14.599999999999964</v>
      </c>
      <c r="V154" s="1151">
        <f t="shared" si="93"/>
        <v>413.90269999999896</v>
      </c>
      <c r="W154" s="108"/>
      <c r="X154" s="2593">
        <v>35</v>
      </c>
      <c r="Y154" s="2323">
        <f t="shared" si="101"/>
        <v>1.2345679012345678</v>
      </c>
      <c r="Z154" s="3178" t="str">
        <f t="shared" si="102"/>
        <v>0 lb. 1.23</v>
      </c>
      <c r="AA154" s="3233"/>
      <c r="AB154" s="2323">
        <f t="shared" si="103"/>
        <v>7.716049382716049E-2</v>
      </c>
      <c r="AC154" s="2321"/>
      <c r="AD154" s="2916">
        <v>1</v>
      </c>
      <c r="AE154" s="2727"/>
      <c r="AF154" s="2453">
        <f t="shared" ref="AF154:AF159" si="105">AD154*16+AE154</f>
        <v>16</v>
      </c>
      <c r="AG154" s="2327">
        <f t="shared" si="104"/>
        <v>453.6</v>
      </c>
      <c r="AH154" s="2321"/>
      <c r="AI154" s="721"/>
      <c r="AJ154" s="1897"/>
      <c r="AK154" s="1149"/>
      <c r="AL154" s="634"/>
      <c r="AM154" s="1898"/>
      <c r="AN154" s="1899"/>
      <c r="AO154" s="2465"/>
      <c r="AP154" s="2465"/>
      <c r="AQ154" s="1251"/>
      <c r="AR154" s="2465"/>
      <c r="AS154" s="2465"/>
      <c r="AT154" s="769"/>
    </row>
    <row r="155" spans="1:46" ht="14.25" customHeight="1">
      <c r="A155" s="601"/>
      <c r="B155" s="2565"/>
      <c r="C155" s="4037" t="s">
        <v>524</v>
      </c>
      <c r="D155" s="4037"/>
      <c r="E155" s="4037"/>
      <c r="F155" s="4037"/>
      <c r="G155" s="4037"/>
      <c r="H155" s="4037"/>
      <c r="I155" s="4037"/>
      <c r="J155" s="4037"/>
      <c r="K155" s="4037"/>
      <c r="L155" s="4037"/>
      <c r="M155" s="4037"/>
      <c r="N155" s="4037"/>
      <c r="O155" s="4037"/>
      <c r="P155" s="2551"/>
      <c r="Q155" s="2551"/>
      <c r="R155" s="2551"/>
      <c r="S155" s="2551"/>
      <c r="T155" s="2551"/>
      <c r="U155" s="1151">
        <f t="shared" si="91"/>
        <v>14.699999999999964</v>
      </c>
      <c r="V155" s="1151">
        <f t="shared" si="93"/>
        <v>416.73764999999895</v>
      </c>
      <c r="W155" s="108"/>
      <c r="X155" s="2593">
        <v>50</v>
      </c>
      <c r="Y155" s="2323">
        <f t="shared" si="101"/>
        <v>1.7636684303350969</v>
      </c>
      <c r="Z155" s="3178" t="str">
        <f t="shared" si="102"/>
        <v>0 lb. 1.76</v>
      </c>
      <c r="AA155" s="3233"/>
      <c r="AB155" s="2323">
        <f t="shared" si="103"/>
        <v>0.11022927689594356</v>
      </c>
      <c r="AC155" s="2321"/>
      <c r="AD155" s="2916">
        <v>1</v>
      </c>
      <c r="AE155" s="2727">
        <v>8</v>
      </c>
      <c r="AF155" s="2453">
        <f t="shared" si="105"/>
        <v>24</v>
      </c>
      <c r="AG155" s="2327">
        <f t="shared" si="104"/>
        <v>680.4</v>
      </c>
      <c r="AH155" s="2321"/>
      <c r="AI155" s="721"/>
      <c r="AJ155" s="1897"/>
      <c r="AK155" s="1149"/>
      <c r="AL155" s="634"/>
      <c r="AM155" s="1898"/>
      <c r="AN155" s="1899"/>
      <c r="AO155" s="2465"/>
      <c r="AP155" s="2465"/>
      <c r="AQ155" s="1251"/>
      <c r="AR155" s="2465"/>
      <c r="AS155" s="2465"/>
      <c r="AT155" s="769"/>
    </row>
    <row r="156" spans="1:46" ht="14.25" customHeight="1">
      <c r="A156" s="601"/>
      <c r="B156" s="2565"/>
      <c r="C156" s="4037" t="s">
        <v>947</v>
      </c>
      <c r="D156" s="4037"/>
      <c r="E156" s="4037"/>
      <c r="F156" s="4037"/>
      <c r="G156" s="4037"/>
      <c r="H156" s="4037"/>
      <c r="I156" s="4037"/>
      <c r="J156" s="4037"/>
      <c r="K156" s="4037"/>
      <c r="L156" s="4037"/>
      <c r="M156" s="4037"/>
      <c r="N156" s="4037"/>
      <c r="O156" s="4037"/>
      <c r="P156" s="2551"/>
      <c r="Q156" s="2551"/>
      <c r="R156" s="2551"/>
      <c r="S156" s="2551"/>
      <c r="T156" s="2551"/>
      <c r="U156" s="1151">
        <f t="shared" si="91"/>
        <v>14.799999999999963</v>
      </c>
      <c r="V156" s="1151">
        <f t="shared" si="93"/>
        <v>419.57259999999894</v>
      </c>
      <c r="W156" s="108"/>
      <c r="X156" s="2593">
        <v>1000</v>
      </c>
      <c r="Y156" s="2323">
        <f t="shared" si="101"/>
        <v>35.273368606701936</v>
      </c>
      <c r="Z156" s="3178" t="str">
        <f t="shared" si="102"/>
        <v>2 lb. 3.27</v>
      </c>
      <c r="AA156" s="3233"/>
      <c r="AB156" s="2323">
        <f t="shared" si="103"/>
        <v>2.204585537918871</v>
      </c>
      <c r="AC156" s="2321"/>
      <c r="AD156" s="2916">
        <v>2</v>
      </c>
      <c r="AE156" s="2727"/>
      <c r="AF156" s="2453">
        <f t="shared" si="105"/>
        <v>32</v>
      </c>
      <c r="AG156" s="2327">
        <f t="shared" si="104"/>
        <v>907.2</v>
      </c>
      <c r="AH156" s="2321"/>
      <c r="AI156" s="721"/>
      <c r="AJ156" s="1897"/>
      <c r="AK156" s="1149"/>
      <c r="AL156" s="634"/>
      <c r="AM156" s="1898"/>
      <c r="AN156" s="1899"/>
      <c r="AO156" s="2465"/>
      <c r="AP156" s="2465"/>
      <c r="AQ156" s="1895"/>
      <c r="AR156" s="2465"/>
      <c r="AS156" s="2465"/>
      <c r="AT156" s="769"/>
    </row>
    <row r="157" spans="1:46" ht="14.25" customHeight="1">
      <c r="A157" s="601"/>
      <c r="B157" s="2565"/>
      <c r="C157" s="3983" t="s">
        <v>1170</v>
      </c>
      <c r="D157" s="3983"/>
      <c r="E157" s="3983"/>
      <c r="F157" s="1163">
        <f>5*(0.1+1.125*M143)/28.3495</f>
        <v>0.13763911180091362</v>
      </c>
      <c r="G157" s="4057" t="str">
        <f>"oz = "&amp;FIXED(F157*28.3495)&amp;"g = "&amp;FIXED(F157*28.3495/5)&amp;" tsp (approx.)"</f>
        <v>oz = 3.90g = 0.78 tsp (approx.)</v>
      </c>
      <c r="H157" s="4057"/>
      <c r="I157" s="4057"/>
      <c r="J157" s="4057"/>
      <c r="K157" s="4057"/>
      <c r="L157" s="2551"/>
      <c r="M157" s="2551"/>
      <c r="N157" s="2551"/>
      <c r="O157" s="2551"/>
      <c r="P157" s="2551"/>
      <c r="Q157" s="2551"/>
      <c r="R157" s="2551"/>
      <c r="S157" s="2551"/>
      <c r="T157" s="2551"/>
      <c r="U157" s="1151">
        <f t="shared" si="91"/>
        <v>14.899999999999963</v>
      </c>
      <c r="V157" s="1151">
        <f t="shared" si="93"/>
        <v>422.40754999999893</v>
      </c>
      <c r="W157" s="113"/>
      <c r="X157" s="2593">
        <v>100</v>
      </c>
      <c r="Y157" s="2323">
        <f t="shared" si="101"/>
        <v>3.5273368606701938</v>
      </c>
      <c r="Z157" s="3178" t="str">
        <f t="shared" si="102"/>
        <v>0 lb. 3.53</v>
      </c>
      <c r="AA157" s="3233"/>
      <c r="AB157" s="2323">
        <f t="shared" si="103"/>
        <v>0.22045855379188711</v>
      </c>
      <c r="AC157" s="2321"/>
      <c r="AD157" s="2916">
        <v>2</v>
      </c>
      <c r="AE157" s="2727">
        <v>8</v>
      </c>
      <c r="AF157" s="2453">
        <f t="shared" si="105"/>
        <v>40</v>
      </c>
      <c r="AG157" s="2327">
        <f t="shared" si="104"/>
        <v>1134</v>
      </c>
      <c r="AH157" s="2321"/>
      <c r="AI157" s="721"/>
      <c r="AJ157" s="1897"/>
      <c r="AK157" s="1149"/>
      <c r="AL157" s="634"/>
      <c r="AM157" s="1898"/>
      <c r="AN157" s="1899"/>
      <c r="AO157" s="2465"/>
      <c r="AP157" s="2465"/>
      <c r="AQ157" s="1895"/>
      <c r="AR157" s="2465"/>
      <c r="AS157" s="2465"/>
      <c r="AT157" s="769"/>
    </row>
    <row r="158" spans="1:46" ht="14.25" customHeight="1">
      <c r="A158" s="601"/>
      <c r="B158" s="2565"/>
      <c r="C158" s="2551"/>
      <c r="D158" s="2551"/>
      <c r="E158" s="2551"/>
      <c r="F158" s="691"/>
      <c r="G158" s="2551"/>
      <c r="H158" s="2551"/>
      <c r="I158" s="2551"/>
      <c r="J158" s="2551"/>
      <c r="K158" s="2565"/>
      <c r="L158" s="2565"/>
      <c r="M158" s="2565"/>
      <c r="N158" s="4047" t="s">
        <v>1482</v>
      </c>
      <c r="O158" s="4048"/>
      <c r="P158" s="4048"/>
      <c r="Q158" s="4048"/>
      <c r="R158" s="4048"/>
      <c r="S158" s="4048"/>
      <c r="T158" s="1006"/>
      <c r="U158" s="1151">
        <f t="shared" si="91"/>
        <v>14.999999999999963</v>
      </c>
      <c r="V158" s="1151">
        <f t="shared" si="93"/>
        <v>425.24249999999893</v>
      </c>
      <c r="W158" s="113"/>
      <c r="X158" s="2593">
        <v>500</v>
      </c>
      <c r="Y158" s="2323">
        <f t="shared" si="101"/>
        <v>17.636684303350968</v>
      </c>
      <c r="Z158" s="3178" t="str">
        <f t="shared" si="102"/>
        <v>1 lb. 1.64</v>
      </c>
      <c r="AA158" s="3233"/>
      <c r="AB158" s="2323">
        <f t="shared" si="103"/>
        <v>1.1022927689594355</v>
      </c>
      <c r="AC158" s="2321"/>
      <c r="AD158" s="2916"/>
      <c r="AE158" s="2727">
        <v>23</v>
      </c>
      <c r="AF158" s="2453">
        <f t="shared" si="105"/>
        <v>23</v>
      </c>
      <c r="AG158" s="2327">
        <f t="shared" si="104"/>
        <v>652.04999999999995</v>
      </c>
      <c r="AH158" s="2321"/>
      <c r="AI158" s="721"/>
      <c r="AJ158" s="1902"/>
      <c r="AK158" s="1903"/>
      <c r="AL158" s="1895"/>
      <c r="AM158" s="2465"/>
      <c r="AN158" s="2465"/>
      <c r="AO158" s="2465"/>
      <c r="AP158" s="2465"/>
      <c r="AQ158" s="2465"/>
      <c r="AR158" s="2465"/>
      <c r="AS158" s="2465"/>
      <c r="AT158" s="769"/>
    </row>
    <row r="159" spans="1:46" ht="14.25" customHeight="1">
      <c r="A159" s="601"/>
      <c r="B159" s="601"/>
      <c r="C159" s="601"/>
      <c r="D159" s="601"/>
      <c r="E159" s="601"/>
      <c r="F159" s="691"/>
      <c r="G159" s="699"/>
      <c r="H159" s="699"/>
      <c r="I159" s="699"/>
      <c r="J159" s="699"/>
      <c r="K159" s="699"/>
      <c r="L159" s="699"/>
      <c r="M159" s="700"/>
      <c r="N159" s="2941" t="s">
        <v>410</v>
      </c>
      <c r="O159" s="2941" t="s">
        <v>411</v>
      </c>
      <c r="P159" s="2942" t="s">
        <v>406</v>
      </c>
      <c r="Q159" s="2942" t="s">
        <v>407</v>
      </c>
      <c r="R159" s="2942" t="s">
        <v>408</v>
      </c>
      <c r="S159" s="2942" t="s">
        <v>409</v>
      </c>
      <c r="T159" s="701"/>
      <c r="U159" s="1151">
        <f t="shared" si="91"/>
        <v>15.099999999999962</v>
      </c>
      <c r="V159" s="1151">
        <f t="shared" si="93"/>
        <v>428.07744999999892</v>
      </c>
      <c r="W159" s="113"/>
      <c r="X159" s="2593">
        <v>3800</v>
      </c>
      <c r="Y159" s="2323">
        <f t="shared" si="101"/>
        <v>134.03880070546737</v>
      </c>
      <c r="Z159" s="3178" t="str">
        <f t="shared" si="102"/>
        <v>8 lb. 6.04</v>
      </c>
      <c r="AA159" s="3233"/>
      <c r="AB159" s="2322">
        <f t="shared" si="103"/>
        <v>8.3774250440917104</v>
      </c>
      <c r="AC159" s="2321"/>
      <c r="AD159" s="2916"/>
      <c r="AE159" s="2727">
        <v>1.1111</v>
      </c>
      <c r="AF159" s="2453">
        <f t="shared" si="105"/>
        <v>1.1111</v>
      </c>
      <c r="AG159" s="2327">
        <f t="shared" si="104"/>
        <v>31.499684999999996</v>
      </c>
      <c r="AH159" s="2321"/>
      <c r="AI159" s="721"/>
      <c r="AJ159" s="1138"/>
      <c r="AK159" s="1904"/>
      <c r="AL159" s="1141"/>
      <c r="AM159" s="769"/>
      <c r="AN159" s="769"/>
      <c r="AO159" s="769"/>
      <c r="AP159" s="769"/>
      <c r="AQ159" s="769"/>
      <c r="AR159" s="769"/>
      <c r="AS159" s="769"/>
      <c r="AT159" s="769"/>
    </row>
    <row r="160" spans="1:46" ht="14.25" customHeight="1">
      <c r="A160" s="601"/>
      <c r="B160" s="4045" t="s">
        <v>362</v>
      </c>
      <c r="C160" s="4045"/>
      <c r="D160" s="4045"/>
      <c r="E160" s="601"/>
      <c r="F160" s="2577"/>
      <c r="G160" s="4043" t="s">
        <v>525</v>
      </c>
      <c r="H160" s="4043"/>
      <c r="I160" s="4043"/>
      <c r="J160" s="4043"/>
      <c r="K160" s="4043"/>
      <c r="L160" s="4043"/>
      <c r="M160" s="4044"/>
      <c r="N160" s="2943">
        <f t="shared" ref="N160:S160" si="106">SUM(AC14:AC139)</f>
        <v>1814.4</v>
      </c>
      <c r="O160" s="2943">
        <f t="shared" si="106"/>
        <v>5080.32</v>
      </c>
      <c r="P160" s="2944">
        <f t="shared" si="106"/>
        <v>0.36288000000000004</v>
      </c>
      <c r="Q160" s="2944">
        <f t="shared" si="106"/>
        <v>5.4432000000000009</v>
      </c>
      <c r="R160" s="2944">
        <f t="shared" si="106"/>
        <v>1.5422400000000003</v>
      </c>
      <c r="S160" s="2944">
        <f t="shared" si="106"/>
        <v>0.43545600000000001</v>
      </c>
      <c r="T160" s="702" t="s">
        <v>526</v>
      </c>
      <c r="U160" s="1151">
        <f t="shared" si="91"/>
        <v>15.199999999999962</v>
      </c>
      <c r="V160" s="1151">
        <f t="shared" si="93"/>
        <v>430.91239999999891</v>
      </c>
      <c r="W160" s="108"/>
      <c r="X160" s="1545"/>
      <c r="Y160" s="1545"/>
      <c r="Z160" s="1545"/>
      <c r="AA160" s="1545"/>
      <c r="AB160" s="1545"/>
      <c r="AC160" s="1545"/>
      <c r="AD160" s="1545"/>
      <c r="AE160" s="1545"/>
      <c r="AF160" s="1545"/>
      <c r="AG160" s="1545"/>
      <c r="AH160" s="1545"/>
      <c r="AI160" s="1545"/>
      <c r="AJ160" s="1138"/>
      <c r="AK160" s="1138"/>
      <c r="AL160" s="769"/>
      <c r="AM160" s="769"/>
      <c r="AN160" s="769"/>
      <c r="AO160" s="769"/>
      <c r="AP160" s="769"/>
      <c r="AQ160" s="769"/>
      <c r="AR160" s="769"/>
      <c r="AS160" s="769"/>
      <c r="AT160" s="769"/>
    </row>
    <row r="161" spans="1:46" ht="14.25" customHeight="1">
      <c r="A161" s="601"/>
      <c r="B161" s="4045"/>
      <c r="C161" s="4045"/>
      <c r="D161" s="4045"/>
      <c r="E161" s="601"/>
      <c r="F161" s="2577"/>
      <c r="G161" s="703"/>
      <c r="H161" s="704"/>
      <c r="I161" s="704"/>
      <c r="J161" s="704"/>
      <c r="K161" s="4072" t="s">
        <v>1162</v>
      </c>
      <c r="L161" s="4072"/>
      <c r="M161" s="4073"/>
      <c r="N161" s="2945">
        <v>150</v>
      </c>
      <c r="O161" s="2945">
        <v>550</v>
      </c>
      <c r="P161" s="2945">
        <v>0.1</v>
      </c>
      <c r="Q161" s="2946">
        <v>0.2</v>
      </c>
      <c r="R161" s="2946">
        <v>0.2</v>
      </c>
      <c r="S161" s="2946">
        <v>0.2</v>
      </c>
      <c r="T161" s="702" t="s">
        <v>526</v>
      </c>
      <c r="U161" s="1151">
        <f t="shared" si="91"/>
        <v>15.299999999999962</v>
      </c>
      <c r="V161" s="1151">
        <f t="shared" si="93"/>
        <v>433.7473499999989</v>
      </c>
      <c r="W161" s="108"/>
      <c r="X161" s="1545"/>
      <c r="Y161" s="1545"/>
      <c r="Z161" s="1545"/>
      <c r="AA161" s="1545"/>
      <c r="AB161" s="1545"/>
      <c r="AC161" s="1545"/>
      <c r="AD161" s="1545"/>
      <c r="AE161" s="1545"/>
      <c r="AF161" s="1545"/>
      <c r="AG161" s="1545"/>
      <c r="AH161" s="1545"/>
      <c r="AI161" s="1545"/>
      <c r="AJ161" s="1138"/>
      <c r="AK161" s="1138"/>
      <c r="AL161" s="769"/>
      <c r="AM161" s="769"/>
      <c r="AN161" s="769"/>
      <c r="AO161" s="769"/>
      <c r="AP161" s="769"/>
      <c r="AQ161" s="769"/>
      <c r="AR161" s="769"/>
      <c r="AS161" s="769"/>
      <c r="AT161" s="769"/>
    </row>
    <row r="162" spans="1:46" ht="14.25" customHeight="1">
      <c r="A162" s="601"/>
      <c r="B162" s="4045"/>
      <c r="C162" s="4045"/>
      <c r="D162" s="4045"/>
      <c r="E162" s="601"/>
      <c r="F162" s="601"/>
      <c r="G162" s="4070" t="str">
        <f>"Nutrient &amp; Vitamins required for "&amp;FIXED(F181,2)&amp;" litres must"</f>
        <v>Nutrient &amp; Vitamins required for 5.16 litres must</v>
      </c>
      <c r="H162" s="4070"/>
      <c r="I162" s="4070"/>
      <c r="J162" s="4070"/>
      <c r="K162" s="4070"/>
      <c r="L162" s="4070"/>
      <c r="M162" s="4071"/>
      <c r="N162" s="2947">
        <f t="shared" ref="N162:S162" si="107">$F181*N161</f>
        <v>774.43200000000002</v>
      </c>
      <c r="O162" s="2947">
        <f t="shared" si="107"/>
        <v>2839.5840000000003</v>
      </c>
      <c r="P162" s="2946">
        <f t="shared" si="107"/>
        <v>0.51628800000000008</v>
      </c>
      <c r="Q162" s="2946">
        <f t="shared" si="107"/>
        <v>1.0325760000000002</v>
      </c>
      <c r="R162" s="2946">
        <f t="shared" si="107"/>
        <v>1.0325760000000002</v>
      </c>
      <c r="S162" s="2946">
        <f t="shared" si="107"/>
        <v>1.0325760000000002</v>
      </c>
      <c r="T162" s="702" t="s">
        <v>526</v>
      </c>
      <c r="U162" s="1151">
        <f t="shared" si="91"/>
        <v>15.399999999999961</v>
      </c>
      <c r="V162" s="1151">
        <f t="shared" si="93"/>
        <v>436.5822999999989</v>
      </c>
      <c r="W162" s="108"/>
      <c r="X162" s="1251"/>
      <c r="Y162" s="1251"/>
      <c r="Z162" s="1251"/>
      <c r="AA162" s="1251"/>
      <c r="AB162" s="1251"/>
      <c r="AC162" s="1251"/>
      <c r="AD162" s="1251"/>
      <c r="AE162" s="1251"/>
      <c r="AF162" s="1251"/>
      <c r="AG162" s="669"/>
      <c r="AH162" s="669"/>
      <c r="AI162" s="669"/>
      <c r="AJ162" s="669"/>
      <c r="AK162" s="669"/>
      <c r="AL162" s="669"/>
      <c r="AM162" s="669"/>
      <c r="AN162" s="669"/>
      <c r="AO162" s="669"/>
      <c r="AP162" s="669"/>
      <c r="AQ162" s="769"/>
      <c r="AR162" s="769"/>
      <c r="AS162" s="769"/>
      <c r="AT162" s="769"/>
    </row>
    <row r="163" spans="1:46" ht="14.25" customHeight="1">
      <c r="A163" s="601"/>
      <c r="B163" s="601"/>
      <c r="C163" s="601"/>
      <c r="D163" s="601"/>
      <c r="E163" s="601"/>
      <c r="F163" s="2222">
        <v>0</v>
      </c>
      <c r="G163" s="4055" t="str">
        <f>"oz  = "&amp;FIXED(453.6*(F163/16))&amp;"g = "&amp;FIXED(453.6*(F163/16)/4.5)&amp;" tsp nutrient give a total of"</f>
        <v>oz  = 0.00g = 0.00 tsp nutrient give a total of</v>
      </c>
      <c r="H163" s="4055"/>
      <c r="I163" s="4055"/>
      <c r="J163" s="4055"/>
      <c r="K163" s="4055"/>
      <c r="L163" s="4055"/>
      <c r="M163" s="4056"/>
      <c r="N163" s="2948">
        <f>(N160-N162)+N165*(453.6*(F163/16))</f>
        <v>1039.9680000000001</v>
      </c>
      <c r="O163" s="2948">
        <f>(O160-O162)+O165*(453.6*(F163/16))</f>
        <v>2240.7359999999994</v>
      </c>
      <c r="P163" s="2949" t="s">
        <v>526</v>
      </c>
      <c r="Q163" s="4066" t="s">
        <v>1610</v>
      </c>
      <c r="R163" s="4066"/>
      <c r="S163" s="4066"/>
      <c r="T163" s="705"/>
      <c r="U163" s="1151">
        <f t="shared" si="91"/>
        <v>15.499999999999961</v>
      </c>
      <c r="V163" s="1151">
        <f t="shared" si="93"/>
        <v>439.41724999999889</v>
      </c>
      <c r="W163" s="108"/>
      <c r="X163" s="1251"/>
      <c r="Y163" s="1251"/>
      <c r="Z163" s="1251"/>
      <c r="AA163" s="1251"/>
      <c r="AB163" s="1251"/>
      <c r="AC163" s="1251"/>
      <c r="AD163" s="1251"/>
      <c r="AE163" s="1251"/>
      <c r="AF163" s="1251"/>
      <c r="AG163" s="669"/>
      <c r="AH163" s="669"/>
      <c r="AI163" s="669"/>
      <c r="AJ163" s="669"/>
      <c r="AK163" s="669"/>
      <c r="AL163" s="669"/>
      <c r="AM163" s="669"/>
      <c r="AN163" s="669"/>
      <c r="AO163" s="669"/>
      <c r="AP163" s="669"/>
      <c r="AQ163" s="769"/>
      <c r="AR163" s="769"/>
      <c r="AS163" s="769"/>
      <c r="AT163" s="769"/>
    </row>
    <row r="164" spans="1:46" ht="14.25" customHeight="1">
      <c r="A164" s="601"/>
      <c r="B164" s="601"/>
      <c r="C164" s="601"/>
      <c r="D164" s="601"/>
      <c r="E164" s="601"/>
      <c r="F164" s="2223">
        <v>0.5</v>
      </c>
      <c r="G164" s="4055" t="s">
        <v>145</v>
      </c>
      <c r="H164" s="4055"/>
      <c r="I164" s="4055"/>
      <c r="J164" s="4055"/>
      <c r="K164" s="4055"/>
      <c r="L164" s="4055"/>
      <c r="M164" s="4056"/>
      <c r="N164" s="4179"/>
      <c r="O164" s="4179"/>
      <c r="P164" s="2950">
        <f>(P160-P162)+P165*$F164</f>
        <v>0.54659199999999997</v>
      </c>
      <c r="Q164" s="2950">
        <f>(Q160-Q162)+Q165*$F164</f>
        <v>13.410624</v>
      </c>
      <c r="R164" s="2950">
        <f>(R160-R162)+R165*$F164</f>
        <v>3.5096639999999999</v>
      </c>
      <c r="S164" s="2950">
        <f>(S160-S162)+S165*$F164</f>
        <v>0.4028799999999999</v>
      </c>
      <c r="T164" s="702" t="s">
        <v>526</v>
      </c>
      <c r="U164" s="1151">
        <f t="shared" si="91"/>
        <v>15.599999999999961</v>
      </c>
      <c r="V164" s="1151">
        <f t="shared" si="93"/>
        <v>442.25219999999888</v>
      </c>
      <c r="W164" s="108"/>
      <c r="X164" s="1251"/>
      <c r="Y164" s="1251"/>
      <c r="Z164" s="1251"/>
      <c r="AA164" s="1251"/>
      <c r="AB164" s="1251"/>
      <c r="AC164" s="1251"/>
      <c r="AD164" s="1251"/>
      <c r="AE164" s="1251"/>
      <c r="AF164" s="1251"/>
      <c r="AG164" s="669"/>
      <c r="AH164" s="669"/>
      <c r="AI164" s="669"/>
      <c r="AJ164" s="1905"/>
      <c r="AK164" s="1906"/>
      <c r="AL164" s="774"/>
      <c r="AM164" s="769"/>
      <c r="AN164" s="769"/>
      <c r="AO164" s="769"/>
      <c r="AP164" s="769"/>
      <c r="AQ164" s="769"/>
      <c r="AR164" s="769"/>
      <c r="AS164" s="769"/>
      <c r="AT164" s="769"/>
    </row>
    <row r="165" spans="1:46" ht="14.25" hidden="1" customHeight="1">
      <c r="A165" s="601"/>
      <c r="B165" s="601"/>
      <c r="C165" s="601"/>
      <c r="D165" s="601"/>
      <c r="E165" s="601"/>
      <c r="F165" s="2604"/>
      <c r="G165" s="2604"/>
      <c r="H165" s="2604"/>
      <c r="I165" s="2605"/>
      <c r="J165" s="2605"/>
      <c r="K165" s="2605"/>
      <c r="L165" s="2606"/>
      <c r="M165" s="2606"/>
      <c r="N165" s="2951">
        <v>210</v>
      </c>
      <c r="O165" s="2951">
        <v>120</v>
      </c>
      <c r="P165" s="2952">
        <v>1.4</v>
      </c>
      <c r="Q165" s="2952">
        <v>18</v>
      </c>
      <c r="R165" s="2952">
        <v>6</v>
      </c>
      <c r="S165" s="2952">
        <v>2</v>
      </c>
      <c r="T165" s="706"/>
      <c r="U165" s="1151">
        <f t="shared" si="91"/>
        <v>15.69999999999996</v>
      </c>
      <c r="V165" s="1151">
        <f t="shared" si="93"/>
        <v>445.08714999999887</v>
      </c>
      <c r="W165" s="108"/>
      <c r="X165" s="1251"/>
      <c r="Y165" s="1251"/>
      <c r="Z165" s="1251"/>
      <c r="AA165" s="1251"/>
      <c r="AB165" s="1251"/>
      <c r="AC165" s="1251"/>
      <c r="AD165" s="1251"/>
      <c r="AE165" s="1251"/>
      <c r="AF165" s="1251"/>
      <c r="AG165" s="669"/>
      <c r="AH165" s="669"/>
      <c r="AI165" s="669"/>
      <c r="AJ165" s="1905"/>
      <c r="AK165" s="1906"/>
      <c r="AL165" s="774"/>
      <c r="AM165" s="769"/>
      <c r="AN165" s="769"/>
      <c r="AO165" s="769"/>
      <c r="AP165" s="769"/>
      <c r="AQ165" s="769"/>
      <c r="AR165" s="769"/>
      <c r="AS165" s="769"/>
      <c r="AT165" s="769"/>
    </row>
    <row r="166" spans="1:46" ht="14.25" hidden="1" customHeight="1">
      <c r="A166" s="601"/>
      <c r="B166" s="601"/>
      <c r="C166" s="601"/>
      <c r="D166" s="601"/>
      <c r="E166" s="601"/>
      <c r="F166" s="2604"/>
      <c r="G166" s="2604"/>
      <c r="H166" s="2604"/>
      <c r="I166" s="2607"/>
      <c r="J166" s="2606"/>
      <c r="K166" s="2606"/>
      <c r="L166" s="2605"/>
      <c r="M166" s="2605"/>
      <c r="N166" s="2951" t="s">
        <v>527</v>
      </c>
      <c r="O166" s="2951" t="s">
        <v>528</v>
      </c>
      <c r="P166" s="2951" t="s">
        <v>529</v>
      </c>
      <c r="Q166" s="2951" t="s">
        <v>529</v>
      </c>
      <c r="R166" s="2951" t="s">
        <v>529</v>
      </c>
      <c r="S166" s="2951" t="s">
        <v>529</v>
      </c>
      <c r="T166" s="706"/>
      <c r="U166" s="1151">
        <f t="shared" si="91"/>
        <v>15.79999999999996</v>
      </c>
      <c r="V166" s="1151">
        <f t="shared" si="93"/>
        <v>447.92209999999886</v>
      </c>
      <c r="W166" s="108"/>
      <c r="X166" s="1251"/>
      <c r="Y166" s="1251"/>
      <c r="Z166" s="1251"/>
      <c r="AA166" s="1251"/>
      <c r="AB166" s="1251"/>
      <c r="AC166" s="1251"/>
      <c r="AD166" s="1251"/>
      <c r="AE166" s="1251"/>
      <c r="AF166" s="1251"/>
      <c r="AG166" s="669"/>
      <c r="AH166" s="669"/>
      <c r="AI166" s="669"/>
      <c r="AJ166" s="1907"/>
      <c r="AK166" s="1906"/>
      <c r="AL166" s="774"/>
      <c r="AM166" s="769"/>
      <c r="AN166" s="769"/>
      <c r="AO166" s="769"/>
      <c r="AP166" s="769"/>
      <c r="AQ166" s="769"/>
      <c r="AR166" s="769"/>
      <c r="AS166" s="769"/>
      <c r="AT166" s="769"/>
    </row>
    <row r="167" spans="1:46" ht="14.25" customHeight="1">
      <c r="A167" s="601"/>
      <c r="B167" s="601"/>
      <c r="C167" s="601"/>
      <c r="D167" s="601"/>
      <c r="E167" s="601"/>
      <c r="F167" s="4050" t="s">
        <v>1556</v>
      </c>
      <c r="G167" s="4050"/>
      <c r="H167" s="4050"/>
      <c r="I167" s="4050"/>
      <c r="J167" s="4050"/>
      <c r="K167" s="4050"/>
      <c r="L167" s="4050"/>
      <c r="M167" s="4051"/>
      <c r="N167" s="4068" t="s">
        <v>1483</v>
      </c>
      <c r="O167" s="4069"/>
      <c r="P167" s="4069"/>
      <c r="Q167" s="4069"/>
      <c r="R167" s="4069"/>
      <c r="S167" s="4069"/>
      <c r="T167" s="707"/>
      <c r="U167" s="1151">
        <f t="shared" si="91"/>
        <v>15.899999999999959</v>
      </c>
      <c r="V167" s="1151">
        <f t="shared" si="93"/>
        <v>450.75704999999886</v>
      </c>
      <c r="W167" s="108"/>
      <c r="X167" s="1251"/>
      <c r="Y167" s="1251"/>
      <c r="Z167" s="1251"/>
      <c r="AA167" s="1251"/>
      <c r="AB167" s="1251"/>
      <c r="AC167" s="1251"/>
      <c r="AD167" s="1251"/>
      <c r="AE167" s="1251"/>
      <c r="AF167" s="1251"/>
      <c r="AG167" s="669"/>
      <c r="AH167" s="669"/>
      <c r="AI167" s="669"/>
      <c r="AJ167" s="1905"/>
      <c r="AK167" s="1906"/>
      <c r="AL167" s="774"/>
      <c r="AM167" s="769"/>
      <c r="AN167" s="769"/>
      <c r="AO167" s="769"/>
      <c r="AP167" s="769"/>
      <c r="AQ167" s="769"/>
      <c r="AR167" s="769"/>
      <c r="AS167" s="769"/>
      <c r="AT167" s="769"/>
    </row>
    <row r="168" spans="1:46" ht="14.25" customHeight="1">
      <c r="A168" s="601"/>
      <c r="B168" s="601"/>
      <c r="C168" s="601"/>
      <c r="D168" s="601"/>
      <c r="E168" s="601"/>
      <c r="F168" s="601"/>
      <c r="G168" s="1006"/>
      <c r="H168" s="601"/>
      <c r="I168" s="601"/>
      <c r="J168" s="601"/>
      <c r="K168" s="601"/>
      <c r="L168" s="601"/>
      <c r="M168" s="601"/>
      <c r="N168" s="708"/>
      <c r="O168" s="601"/>
      <c r="P168" s="601"/>
      <c r="Q168" s="769"/>
      <c r="R168" s="601"/>
      <c r="S168" s="601"/>
      <c r="T168" s="601"/>
      <c r="U168" s="1151">
        <f t="shared" si="91"/>
        <v>15.999999999999959</v>
      </c>
      <c r="V168" s="1151">
        <f t="shared" si="93"/>
        <v>453.59199999999885</v>
      </c>
      <c r="W168" s="127"/>
      <c r="X168" s="1251"/>
      <c r="Y168" s="1251"/>
      <c r="Z168" s="1251"/>
      <c r="AA168" s="1251"/>
      <c r="AB168" s="1251"/>
      <c r="AC168" s="1251"/>
      <c r="AD168" s="1251"/>
      <c r="AE168" s="1251"/>
      <c r="AF168" s="1251"/>
      <c r="AG168" s="669"/>
      <c r="AH168" s="669"/>
      <c r="AI168" s="669"/>
      <c r="AJ168" s="1138"/>
      <c r="AK168" s="1904"/>
      <c r="AL168" s="1141"/>
      <c r="AM168" s="769"/>
      <c r="AN168" s="769"/>
      <c r="AO168" s="769"/>
      <c r="AP168" s="769"/>
      <c r="AQ168" s="769"/>
      <c r="AR168" s="769"/>
      <c r="AS168" s="769"/>
      <c r="AT168" s="769"/>
    </row>
    <row r="169" spans="1:46" ht="14.25" customHeight="1">
      <c r="A169" s="601"/>
      <c r="B169" s="601"/>
      <c r="C169" s="4067" t="s">
        <v>1171</v>
      </c>
      <c r="D169" s="4067"/>
      <c r="E169" s="4067"/>
      <c r="F169" s="4067"/>
      <c r="G169" s="4067"/>
      <c r="H169" s="4067"/>
      <c r="I169" s="4067"/>
      <c r="J169" s="4067"/>
      <c r="K169" s="4067"/>
      <c r="L169" s="4067"/>
      <c r="M169" s="4067"/>
      <c r="N169" s="4067"/>
      <c r="O169" s="4067"/>
      <c r="P169" s="4067"/>
      <c r="Q169" s="4067"/>
      <c r="R169" s="4067"/>
      <c r="S169" s="1006"/>
      <c r="T169" s="709"/>
      <c r="U169" s="1151">
        <f t="shared" si="91"/>
        <v>16.099999999999959</v>
      </c>
      <c r="V169" s="1151">
        <f t="shared" si="93"/>
        <v>456.42694999999884</v>
      </c>
      <c r="W169" s="127"/>
      <c r="X169" s="1251"/>
      <c r="Y169" s="1251"/>
      <c r="Z169" s="1251"/>
      <c r="AA169" s="1251"/>
      <c r="AB169" s="1251"/>
      <c r="AC169" s="1251"/>
      <c r="AD169" s="1251"/>
      <c r="AE169" s="1251"/>
      <c r="AF169" s="1251"/>
      <c r="AG169" s="110"/>
      <c r="AH169" s="110"/>
      <c r="AI169" s="110"/>
      <c r="AJ169" s="1908"/>
      <c r="AK169" s="1908"/>
      <c r="AL169" s="1909"/>
      <c r="AM169" s="1251"/>
      <c r="AN169" s="1251"/>
      <c r="AO169" s="1251"/>
      <c r="AP169" s="1251"/>
      <c r="AQ169" s="1251"/>
      <c r="AR169" s="1251"/>
      <c r="AS169" s="1251"/>
      <c r="AT169" s="1251"/>
    </row>
    <row r="170" spans="1:46" ht="14.25" customHeight="1">
      <c r="A170" s="601"/>
      <c r="B170" s="601"/>
      <c r="C170" s="4038" t="s">
        <v>532</v>
      </c>
      <c r="D170" s="4039"/>
      <c r="E170" s="4052">
        <v>0</v>
      </c>
      <c r="F170" s="4052"/>
      <c r="G170" s="4061" t="str">
        <f>"oz or "&amp;FIXED(E170*28.3495,0)&amp;"g (0 nom.) for an estimated gravity increase of "&amp;FIXED((H172*0.375/F$177),1)&amp;" degree ("&amp;IF(D6&gt;1020,"Dessert)",IF(D6&gt;1015,"Sweet)",IF(D6&gt;1010,"Medium Sweet)",IF(D6&gt;1005,"Medium)",IF(D6&gt;998,"Medium dry)",IF(D6&gt;0,"Dry)"))))))</f>
        <v>oz or 0g (0 nom.) for an estimated gravity increase of 0.0 degree (Dry)</v>
      </c>
      <c r="H170" s="4061"/>
      <c r="I170" s="4061"/>
      <c r="J170" s="4061"/>
      <c r="K170" s="4061"/>
      <c r="L170" s="4061"/>
      <c r="M170" s="4061"/>
      <c r="N170" s="4061"/>
      <c r="O170" s="4061"/>
      <c r="P170" s="4061"/>
      <c r="Q170" s="4061"/>
      <c r="R170" s="4062"/>
      <c r="S170" s="1006"/>
      <c r="T170" s="709"/>
      <c r="U170" s="1151">
        <f t="shared" si="91"/>
        <v>16.19999999999996</v>
      </c>
      <c r="V170" s="1151">
        <f t="shared" si="93"/>
        <v>459.26189999999883</v>
      </c>
      <c r="W170" s="127"/>
      <c r="X170" s="1251"/>
      <c r="Y170" s="1251"/>
      <c r="Z170" s="1251"/>
      <c r="AA170" s="1251"/>
      <c r="AB170" s="1251"/>
      <c r="AC170" s="1251"/>
      <c r="AD170" s="1251"/>
      <c r="AE170" s="1251"/>
      <c r="AF170" s="1251"/>
      <c r="AG170" s="1251"/>
      <c r="AH170" s="1251"/>
      <c r="AI170" s="1251"/>
      <c r="AJ170" s="1251"/>
      <c r="AK170" s="1251"/>
      <c r="AL170" s="1251"/>
      <c r="AM170" s="1251"/>
      <c r="AN170" s="1251"/>
      <c r="AO170" s="1251"/>
      <c r="AP170" s="1251"/>
      <c r="AQ170" s="1251"/>
      <c r="AR170" s="1251"/>
      <c r="AS170" s="1251"/>
      <c r="AT170" s="1251"/>
    </row>
    <row r="171" spans="1:46" ht="14.25" customHeight="1">
      <c r="A171" s="601"/>
      <c r="B171" s="601"/>
      <c r="C171" s="4059" t="str">
        <f>"Assume "&amp;E170&amp;"g sugar makes approx."</f>
        <v>Assume 0g sugar makes approx.</v>
      </c>
      <c r="D171" s="4060"/>
      <c r="E171" s="4064">
        <f>(375*H$172)/(300)</f>
        <v>0</v>
      </c>
      <c r="F171" s="4064"/>
      <c r="G171" s="4053" t="str">
        <f>"ml syrup, S.G. 300, by adding approx. "&amp;FIXED((E171-0.58*H172),-1)&amp;"ml. of water."</f>
        <v>ml syrup, S.G. 300, by adding approx. 0ml. of water.</v>
      </c>
      <c r="H171" s="4053"/>
      <c r="I171" s="4053"/>
      <c r="J171" s="4053"/>
      <c r="K171" s="4053"/>
      <c r="L171" s="4053"/>
      <c r="M171" s="4053"/>
      <c r="N171" s="4053"/>
      <c r="O171" s="4053"/>
      <c r="P171" s="4053"/>
      <c r="Q171" s="4053"/>
      <c r="R171" s="4054"/>
      <c r="S171" s="1006"/>
      <c r="T171" s="709"/>
      <c r="U171" s="1151">
        <f t="shared" si="91"/>
        <v>16.299999999999962</v>
      </c>
      <c r="V171" s="1151">
        <f t="shared" si="93"/>
        <v>462.09684999999888</v>
      </c>
      <c r="W171" s="127"/>
      <c r="X171" s="1251"/>
      <c r="Y171" s="1251"/>
      <c r="Z171" s="1251"/>
      <c r="AA171" s="1251"/>
      <c r="AB171" s="1251"/>
      <c r="AC171" s="1251"/>
      <c r="AD171" s="1251"/>
      <c r="AE171" s="1251"/>
      <c r="AF171" s="1251"/>
      <c r="AG171" s="1251"/>
      <c r="AH171" s="1251"/>
      <c r="AI171" s="1251"/>
      <c r="AJ171" s="1251"/>
      <c r="AK171" s="1251"/>
      <c r="AL171" s="1251"/>
      <c r="AM171" s="1251"/>
      <c r="AN171" s="1251"/>
      <c r="AO171" s="1251"/>
      <c r="AP171" s="1251"/>
      <c r="AQ171" s="1251"/>
      <c r="AR171" s="1251"/>
      <c r="AS171" s="1251"/>
      <c r="AT171" s="1251"/>
    </row>
    <row r="172" spans="1:46" ht="14.25" customHeight="1">
      <c r="A172" s="601"/>
      <c r="B172" s="601"/>
      <c r="C172" s="4041" t="s">
        <v>320</v>
      </c>
      <c r="D172" s="4042"/>
      <c r="E172" s="4013" t="s">
        <v>314</v>
      </c>
      <c r="F172" s="4014"/>
      <c r="G172" s="4014"/>
      <c r="H172" s="710">
        <f>E170*28.3495</f>
        <v>0</v>
      </c>
      <c r="I172" s="4013" t="s">
        <v>315</v>
      </c>
      <c r="J172" s="4015"/>
      <c r="K172" s="4013" t="s">
        <v>316</v>
      </c>
      <c r="L172" s="4015"/>
      <c r="M172" s="4013" t="s">
        <v>317</v>
      </c>
      <c r="N172" s="4015"/>
      <c r="O172" s="4013" t="s">
        <v>318</v>
      </c>
      <c r="P172" s="4015"/>
      <c r="Q172" s="4013" t="s">
        <v>319</v>
      </c>
      <c r="R172" s="4015"/>
      <c r="S172" s="730"/>
      <c r="T172" s="709"/>
      <c r="U172" s="1151">
        <f t="shared" si="91"/>
        <v>16.399999999999963</v>
      </c>
      <c r="V172" s="1151">
        <f t="shared" si="93"/>
        <v>464.93179999999893</v>
      </c>
      <c r="W172" s="127"/>
      <c r="X172" s="1251"/>
      <c r="Y172" s="1251"/>
      <c r="Z172" s="1251"/>
      <c r="AA172" s="1251"/>
      <c r="AB172" s="1251"/>
      <c r="AC172" s="1251"/>
      <c r="AD172" s="1251"/>
      <c r="AE172" s="1251"/>
      <c r="AF172" s="1251"/>
      <c r="AG172" s="1251"/>
      <c r="AH172" s="1251"/>
      <c r="AI172" s="1251"/>
      <c r="AJ172" s="1251"/>
      <c r="AK172" s="1251"/>
      <c r="AL172" s="1251"/>
      <c r="AM172" s="1251"/>
      <c r="AN172" s="1251"/>
      <c r="AO172" s="1251"/>
      <c r="AP172" s="1251"/>
      <c r="AQ172" s="1251"/>
      <c r="AR172" s="1251"/>
      <c r="AS172" s="1251"/>
      <c r="AT172" s="1251"/>
    </row>
    <row r="173" spans="1:46" ht="14.25" customHeight="1">
      <c r="A173" s="601"/>
      <c r="B173" s="601"/>
      <c r="C173" s="3995" t="s">
        <v>324</v>
      </c>
      <c r="D173" s="3995"/>
      <c r="E173" s="4013" t="s">
        <v>535</v>
      </c>
      <c r="F173" s="4014"/>
      <c r="G173" s="4015"/>
      <c r="H173" s="711">
        <f>(H172*0.375/F$177)</f>
        <v>0</v>
      </c>
      <c r="I173" s="4013" t="s">
        <v>536</v>
      </c>
      <c r="J173" s="4015"/>
      <c r="K173" s="4013" t="s">
        <v>537</v>
      </c>
      <c r="L173" s="4015"/>
      <c r="M173" s="4013" t="s">
        <v>538</v>
      </c>
      <c r="N173" s="4015"/>
      <c r="O173" s="4013" t="s">
        <v>539</v>
      </c>
      <c r="P173" s="4015"/>
      <c r="Q173" s="4013" t="s">
        <v>540</v>
      </c>
      <c r="R173" s="4015"/>
      <c r="S173" s="730"/>
      <c r="T173" s="709"/>
      <c r="U173" s="1151">
        <f t="shared" si="91"/>
        <v>16.499999999999964</v>
      </c>
      <c r="V173" s="1151">
        <f t="shared" si="93"/>
        <v>467.76674999999898</v>
      </c>
      <c r="W173" s="127"/>
      <c r="X173" s="1251"/>
      <c r="Y173" s="1251"/>
      <c r="Z173" s="1251"/>
      <c r="AA173" s="1251"/>
      <c r="AB173" s="1251"/>
      <c r="AC173" s="1251"/>
      <c r="AD173" s="1251"/>
      <c r="AE173" s="1251"/>
      <c r="AF173" s="1251"/>
      <c r="AG173" s="1251"/>
      <c r="AH173" s="1251"/>
      <c r="AI173" s="1251"/>
      <c r="AJ173" s="1251"/>
      <c r="AK173" s="1251"/>
      <c r="AL173" s="1251"/>
      <c r="AM173" s="1251"/>
      <c r="AN173" s="1251"/>
      <c r="AO173" s="1251"/>
      <c r="AP173" s="1251"/>
      <c r="AQ173" s="1251"/>
      <c r="AR173" s="1251"/>
      <c r="AS173" s="1251"/>
      <c r="AT173" s="1251"/>
    </row>
    <row r="174" spans="1:46" ht="14.25" customHeight="1">
      <c r="A174" s="601"/>
      <c r="B174" s="601"/>
      <c r="C174" s="4022" t="s">
        <v>1614</v>
      </c>
      <c r="D174" s="4023"/>
      <c r="E174" s="4030" t="s">
        <v>541</v>
      </c>
      <c r="F174" s="4031"/>
      <c r="G174" s="4031"/>
      <c r="H174" s="2783"/>
      <c r="I174" s="4013" t="s">
        <v>542</v>
      </c>
      <c r="J174" s="4015"/>
      <c r="K174" s="4013" t="s">
        <v>543</v>
      </c>
      <c r="L174" s="4015"/>
      <c r="M174" s="4013" t="s">
        <v>544</v>
      </c>
      <c r="N174" s="4015"/>
      <c r="O174" s="4013" t="s">
        <v>545</v>
      </c>
      <c r="P174" s="4015"/>
      <c r="Q174" s="4013" t="s">
        <v>546</v>
      </c>
      <c r="R174" s="4015"/>
      <c r="S174" s="730"/>
      <c r="T174" s="709"/>
      <c r="U174" s="1151">
        <f t="shared" si="91"/>
        <v>16.599999999999966</v>
      </c>
      <c r="V174" s="1151">
        <f t="shared" si="93"/>
        <v>470.60169999999903</v>
      </c>
      <c r="W174" s="127"/>
      <c r="X174" s="1251"/>
      <c r="Y174" s="1251"/>
      <c r="Z174" s="1251"/>
      <c r="AA174" s="1251"/>
      <c r="AB174" s="1251"/>
      <c r="AC174" s="1251"/>
      <c r="AD174" s="1251"/>
      <c r="AE174" s="1251"/>
      <c r="AF174" s="1251"/>
      <c r="AG174" s="1251"/>
      <c r="AH174" s="1251"/>
      <c r="AI174" s="1251"/>
      <c r="AJ174" s="1251"/>
      <c r="AK174" s="1251"/>
      <c r="AL174" s="1251"/>
      <c r="AM174" s="1251"/>
      <c r="AN174" s="1251"/>
      <c r="AO174" s="1251"/>
      <c r="AP174" s="1251"/>
      <c r="AQ174" s="1251"/>
      <c r="AR174" s="1251"/>
      <c r="AS174" s="1251"/>
      <c r="AT174" s="1251"/>
    </row>
    <row r="175" spans="1:46" ht="14.25" customHeight="1">
      <c r="A175" s="601"/>
      <c r="B175" s="601"/>
      <c r="C175" s="3995" t="s">
        <v>308</v>
      </c>
      <c r="D175" s="3995"/>
      <c r="E175" s="4029" t="s">
        <v>309</v>
      </c>
      <c r="F175" s="4029"/>
      <c r="G175" s="4029"/>
      <c r="H175" s="2784"/>
      <c r="I175" s="4029" t="s">
        <v>950</v>
      </c>
      <c r="J175" s="4029"/>
      <c r="K175" s="4029" t="s">
        <v>310</v>
      </c>
      <c r="L175" s="4029"/>
      <c r="M175" s="4029" t="s">
        <v>311</v>
      </c>
      <c r="N175" s="4029"/>
      <c r="O175" s="4029" t="s">
        <v>312</v>
      </c>
      <c r="P175" s="4029"/>
      <c r="Q175" s="4029" t="s">
        <v>313</v>
      </c>
      <c r="R175" s="4029"/>
      <c r="S175" s="712"/>
      <c r="T175" s="601"/>
      <c r="U175" s="1151">
        <f t="shared" si="91"/>
        <v>16.699999999999967</v>
      </c>
      <c r="V175" s="1151">
        <f t="shared" si="93"/>
        <v>473.43664999999908</v>
      </c>
      <c r="W175" s="127"/>
      <c r="X175" s="1251"/>
      <c r="Y175" s="1251"/>
      <c r="Z175" s="1251"/>
      <c r="AA175" s="1251"/>
      <c r="AB175" s="1251"/>
      <c r="AC175" s="1251"/>
      <c r="AD175" s="1251"/>
      <c r="AE175" s="1251"/>
      <c r="AF175" s="1251"/>
      <c r="AG175" s="1251"/>
      <c r="AH175" s="1251"/>
      <c r="AI175" s="1251"/>
      <c r="AJ175" s="1251"/>
      <c r="AK175" s="1251"/>
      <c r="AL175" s="1251"/>
      <c r="AM175" s="1251"/>
      <c r="AN175" s="1251"/>
      <c r="AO175" s="1251"/>
      <c r="AP175" s="1251"/>
      <c r="AQ175" s="1251"/>
      <c r="AR175" s="1251"/>
      <c r="AS175" s="1251"/>
      <c r="AT175" s="1251"/>
    </row>
    <row r="176" spans="1:46" ht="14.25" customHeight="1">
      <c r="A176" s="601"/>
      <c r="B176" s="601"/>
      <c r="C176" s="713"/>
      <c r="D176" s="713"/>
      <c r="E176" s="713"/>
      <c r="F176" s="713"/>
      <c r="G176" s="714"/>
      <c r="H176" s="714"/>
      <c r="I176" s="714"/>
      <c r="J176" s="714"/>
      <c r="K176" s="714"/>
      <c r="L176" s="712"/>
      <c r="M176" s="712"/>
      <c r="N176" s="712"/>
      <c r="O176" s="712"/>
      <c r="P176" s="712"/>
      <c r="Q176" s="712"/>
      <c r="R176" s="712"/>
      <c r="S176" s="712"/>
      <c r="T176" s="601"/>
      <c r="U176" s="1151">
        <f t="shared" si="91"/>
        <v>16.799999999999969</v>
      </c>
      <c r="V176" s="1151">
        <f t="shared" si="93"/>
        <v>476.27159999999913</v>
      </c>
      <c r="W176" s="127"/>
      <c r="X176" s="1251"/>
      <c r="Y176" s="1251"/>
      <c r="Z176" s="1251"/>
      <c r="AA176" s="1251"/>
      <c r="AB176" s="1251"/>
      <c r="AC176" s="1251"/>
      <c r="AD176" s="1251"/>
      <c r="AE176" s="1251"/>
      <c r="AF176" s="1251"/>
      <c r="AG176" s="1251"/>
      <c r="AH176" s="1251"/>
      <c r="AI176" s="1251"/>
      <c r="AJ176" s="1251"/>
      <c r="AK176" s="1251"/>
      <c r="AL176" s="1251"/>
      <c r="AM176" s="1251"/>
      <c r="AN176" s="1251"/>
      <c r="AO176" s="1251"/>
      <c r="AP176" s="1251"/>
      <c r="AQ176" s="1251"/>
      <c r="AR176" s="1251"/>
      <c r="AS176" s="1251"/>
      <c r="AT176" s="1251"/>
    </row>
    <row r="177" spans="1:46" ht="14.25" customHeight="1">
      <c r="A177" s="601"/>
      <c r="B177" s="601"/>
      <c r="C177" s="3967" t="s">
        <v>547</v>
      </c>
      <c r="D177" s="3967"/>
      <c r="E177" s="713"/>
      <c r="F177" s="715">
        <f>D7</f>
        <v>4.5</v>
      </c>
      <c r="G177" s="2572" t="s">
        <v>150</v>
      </c>
      <c r="H177" s="2572"/>
      <c r="I177" s="2572"/>
      <c r="J177" s="2572"/>
      <c r="K177" s="2939" t="s">
        <v>1823</v>
      </c>
      <c r="L177" s="712"/>
      <c r="M177" s="712"/>
      <c r="N177" s="3983" t="s">
        <v>797</v>
      </c>
      <c r="O177" s="3983"/>
      <c r="P177" s="3983"/>
      <c r="Q177" s="3983"/>
      <c r="R177" s="3983"/>
      <c r="S177" s="2788">
        <f>(G143+G140+10)/1000</f>
        <v>3.1355875000000002</v>
      </c>
      <c r="T177" s="716" t="s">
        <v>150</v>
      </c>
      <c r="U177" s="1151">
        <f t="shared" si="91"/>
        <v>16.89999999999997</v>
      </c>
      <c r="V177" s="1151">
        <f t="shared" si="93"/>
        <v>479.10654999999912</v>
      </c>
      <c r="W177" s="127"/>
      <c r="X177" s="1251"/>
      <c r="Y177" s="1251"/>
      <c r="Z177" s="2473"/>
      <c r="AA177" s="1251"/>
      <c r="AB177" s="1251"/>
      <c r="AC177" s="1251"/>
      <c r="AD177" s="1251"/>
      <c r="AE177" s="1251"/>
      <c r="AF177" s="1251"/>
      <c r="AG177" s="1251"/>
      <c r="AH177" s="1251"/>
      <c r="AI177" s="1251"/>
      <c r="AJ177" s="1251"/>
      <c r="AK177" s="1251"/>
      <c r="AL177" s="1251"/>
      <c r="AM177" s="1251"/>
      <c r="AN177" s="1251"/>
      <c r="AO177" s="1251"/>
      <c r="AP177" s="1251"/>
      <c r="AQ177" s="1251"/>
      <c r="AR177" s="1251"/>
      <c r="AS177" s="1251"/>
      <c r="AT177" s="1251"/>
    </row>
    <row r="178" spans="1:46" ht="14.25" customHeight="1">
      <c r="A178" s="601"/>
      <c r="B178" s="601"/>
      <c r="C178" s="4027" t="s">
        <v>548</v>
      </c>
      <c r="D178" s="4021"/>
      <c r="E178" s="713"/>
      <c r="F178" s="2221">
        <v>300</v>
      </c>
      <c r="G178" s="4074" t="str">
        <f>"ml ("&amp;FIXED(300*(F177/4.5),0)&amp; " nom. for "&amp;D7&amp;" litres)"</f>
        <v>ml (300 nom. for 4.5 litres)</v>
      </c>
      <c r="H178" s="4074"/>
      <c r="I178" s="4074"/>
      <c r="J178" s="4074"/>
      <c r="K178" s="2044"/>
      <c r="L178" s="712"/>
      <c r="M178" s="712"/>
      <c r="N178" s="3983" t="s">
        <v>549</v>
      </c>
      <c r="O178" s="3983"/>
      <c r="P178" s="3983"/>
      <c r="Q178" s="3983"/>
      <c r="R178" s="3983"/>
      <c r="S178" s="2288">
        <f>F181-S177</f>
        <v>2.0272925000000002</v>
      </c>
      <c r="T178" s="716" t="s">
        <v>150</v>
      </c>
      <c r="U178" s="1151">
        <f t="shared" si="91"/>
        <v>16.999999999999972</v>
      </c>
      <c r="V178" s="1151">
        <f t="shared" si="93"/>
        <v>481.94149999999917</v>
      </c>
      <c r="W178" s="529"/>
      <c r="X178" s="1251"/>
      <c r="Y178" s="1251"/>
      <c r="Z178" s="1251"/>
      <c r="AA178" s="1251"/>
      <c r="AB178" s="1251"/>
      <c r="AC178" s="1251"/>
      <c r="AD178" s="1251"/>
      <c r="AE178" s="1251"/>
      <c r="AF178" s="1251"/>
      <c r="AG178" s="1251"/>
      <c r="AH178" s="1251"/>
      <c r="AI178" s="1251"/>
      <c r="AJ178" s="1251"/>
      <c r="AK178" s="1251"/>
      <c r="AL178" s="1251"/>
      <c r="AM178" s="1251"/>
      <c r="AN178" s="1251"/>
      <c r="AO178" s="1251"/>
      <c r="AP178" s="1251"/>
      <c r="AQ178" s="1251"/>
      <c r="AR178" s="1251"/>
      <c r="AS178" s="1251"/>
      <c r="AT178" s="1251"/>
    </row>
    <row r="179" spans="1:46" ht="14.25" customHeight="1">
      <c r="A179" s="601"/>
      <c r="B179" s="601"/>
      <c r="C179" s="4020" t="s">
        <v>550</v>
      </c>
      <c r="D179" s="4021"/>
      <c r="E179" s="713"/>
      <c r="F179" s="717">
        <f>H140</f>
        <v>362.88000000000005</v>
      </c>
      <c r="G179" s="4024" t="s">
        <v>551</v>
      </c>
      <c r="H179" s="4024"/>
      <c r="I179" s="4024"/>
      <c r="J179" s="4024"/>
      <c r="K179" s="2045"/>
      <c r="L179" s="712"/>
      <c r="M179" s="712"/>
      <c r="N179" s="1251"/>
      <c r="O179" s="2973" t="s">
        <v>1620</v>
      </c>
      <c r="P179" s="2973"/>
      <c r="Q179" s="2973"/>
      <c r="R179" s="2973"/>
      <c r="S179" s="2973"/>
      <c r="T179" s="4028"/>
      <c r="U179" s="1151">
        <f t="shared" si="91"/>
        <v>17.099999999999973</v>
      </c>
      <c r="V179" s="1151">
        <f t="shared" si="93"/>
        <v>484.77644999999922</v>
      </c>
      <c r="W179" s="108"/>
      <c r="X179" s="1251"/>
      <c r="Y179" s="1251"/>
      <c r="Z179" s="1251"/>
      <c r="AA179" s="1251"/>
      <c r="AB179" s="1251"/>
      <c r="AC179" s="1251"/>
      <c r="AD179" s="1251"/>
      <c r="AE179" s="1251"/>
      <c r="AF179" s="1251"/>
      <c r="AG179" s="110"/>
      <c r="AH179" s="110"/>
      <c r="AI179" s="110"/>
      <c r="AJ179" s="1910"/>
      <c r="AK179" s="1908"/>
      <c r="AL179" s="1909"/>
      <c r="AM179" s="1911"/>
      <c r="AN179" s="1251"/>
      <c r="AO179" s="1251"/>
      <c r="AP179" s="1251"/>
      <c r="AQ179" s="1251"/>
      <c r="AR179" s="1251"/>
      <c r="AS179" s="1251"/>
      <c r="AT179" s="1251"/>
    </row>
    <row r="180" spans="1:46" ht="14.25" customHeight="1">
      <c r="A180" s="601"/>
      <c r="B180" s="601"/>
      <c r="C180" s="4020" t="s">
        <v>552</v>
      </c>
      <c r="D180" s="4021"/>
      <c r="E180" s="713"/>
      <c r="F180" s="718">
        <f>F177+0.001*(F178+F179)</f>
        <v>5.1628800000000004</v>
      </c>
      <c r="G180" s="4024" t="s">
        <v>553</v>
      </c>
      <c r="H180" s="4024"/>
      <c r="I180" s="4024"/>
      <c r="J180" s="4024"/>
      <c r="K180" s="2045"/>
      <c r="L180" s="2476"/>
      <c r="M180" s="719"/>
      <c r="N180" s="720"/>
      <c r="O180" s="408"/>
      <c r="P180" s="4063" t="s">
        <v>1640</v>
      </c>
      <c r="Q180" s="4063"/>
      <c r="R180" s="4063"/>
      <c r="S180" s="4063"/>
      <c r="T180" s="2290"/>
      <c r="U180" s="1151">
        <f t="shared" si="91"/>
        <v>17.199999999999974</v>
      </c>
      <c r="V180" s="1151">
        <f t="shared" si="93"/>
        <v>487.61139999999926</v>
      </c>
      <c r="W180" s="1616"/>
      <c r="X180" s="1251"/>
      <c r="Y180" s="1251"/>
      <c r="Z180" s="1251"/>
      <c r="AA180" s="1251"/>
      <c r="AB180" s="1251"/>
      <c r="AC180" s="1251"/>
      <c r="AD180" s="1251"/>
      <c r="AE180" s="1251"/>
      <c r="AF180" s="1251"/>
      <c r="AG180" s="110"/>
      <c r="AH180" s="110"/>
      <c r="AI180" s="110"/>
      <c r="AJ180" s="1910"/>
      <c r="AK180" s="1908"/>
      <c r="AL180" s="1909"/>
      <c r="AM180" s="1251"/>
      <c r="AN180" s="1251"/>
      <c r="AO180" s="1251"/>
      <c r="AP180" s="1251"/>
      <c r="AQ180" s="1251"/>
      <c r="AR180" s="1251"/>
      <c r="AS180" s="1251"/>
      <c r="AT180" s="1251"/>
    </row>
    <row r="181" spans="1:46" ht="14.25" customHeight="1">
      <c r="A181" s="601"/>
      <c r="B181" s="601"/>
      <c r="C181" s="3967" t="s">
        <v>554</v>
      </c>
      <c r="D181" s="3967"/>
      <c r="E181" s="713"/>
      <c r="F181" s="1617">
        <f>F177+(0.001*(F178+F179))-0.001*E171</f>
        <v>5.1628800000000004</v>
      </c>
      <c r="G181" s="4025" t="s">
        <v>1582</v>
      </c>
      <c r="H181" s="4025"/>
      <c r="I181" s="4025"/>
      <c r="J181" s="4025"/>
      <c r="K181" s="4025"/>
      <c r="L181" s="4025"/>
      <c r="M181" s="4025"/>
      <c r="N181" s="4025"/>
      <c r="O181" s="4025"/>
      <c r="P181" s="4063"/>
      <c r="Q181" s="4063"/>
      <c r="R181" s="4063"/>
      <c r="S181" s="4063"/>
      <c r="T181" s="2290"/>
      <c r="U181" s="1151">
        <f t="shared" si="91"/>
        <v>17.299999999999976</v>
      </c>
      <c r="V181" s="1151">
        <f t="shared" si="93"/>
        <v>490.44634999999931</v>
      </c>
      <c r="W181" s="1616"/>
      <c r="X181" s="1251"/>
      <c r="Y181" s="1251"/>
      <c r="Z181" s="1251"/>
      <c r="AA181" s="1251"/>
      <c r="AB181" s="1251"/>
      <c r="AC181" s="1251"/>
      <c r="AD181" s="1251"/>
      <c r="AE181" s="1251"/>
      <c r="AF181" s="1251"/>
      <c r="AG181" s="1251"/>
      <c r="AH181" s="1251"/>
      <c r="AI181" s="1251"/>
      <c r="AJ181" s="1910"/>
      <c r="AK181" s="1908"/>
      <c r="AL181" s="1909"/>
      <c r="AM181" s="1251"/>
      <c r="AN181" s="1251"/>
      <c r="AO181" s="1251"/>
      <c r="AP181" s="1251"/>
      <c r="AQ181" s="1251"/>
      <c r="AR181" s="1251"/>
      <c r="AS181" s="1251"/>
      <c r="AT181" s="1251"/>
    </row>
    <row r="182" spans="1:46" ht="14.25" customHeight="1">
      <c r="A182" s="601"/>
      <c r="B182" s="601"/>
      <c r="C182" s="601"/>
      <c r="D182" s="716"/>
      <c r="E182" s="713"/>
      <c r="F182" s="722">
        <f>F181-0.001*(F178+F179)</f>
        <v>4.5</v>
      </c>
      <c r="G182" s="4026" t="s">
        <v>555</v>
      </c>
      <c r="H182" s="4026"/>
      <c r="I182" s="4026"/>
      <c r="J182" s="4026"/>
      <c r="K182" s="4026"/>
      <c r="L182" s="2869"/>
      <c r="M182" s="2869"/>
      <c r="N182" s="2869"/>
      <c r="O182" s="2869"/>
      <c r="P182" s="4063"/>
      <c r="Q182" s="4063"/>
      <c r="R182" s="4063"/>
      <c r="S182" s="4063"/>
      <c r="T182" s="2290"/>
      <c r="U182" s="1151">
        <f t="shared" si="91"/>
        <v>17.399999999999977</v>
      </c>
      <c r="V182" s="1151">
        <f t="shared" si="93"/>
        <v>493.28129999999936</v>
      </c>
      <c r="W182" s="1616"/>
      <c r="X182" s="1251"/>
      <c r="Y182" s="1251"/>
      <c r="Z182" s="1251"/>
      <c r="AA182" s="1251"/>
      <c r="AB182" s="1251"/>
      <c r="AC182" s="1251"/>
      <c r="AD182" s="1251"/>
      <c r="AE182" s="1251"/>
      <c r="AF182" s="1251"/>
      <c r="AG182" s="1251"/>
      <c r="AH182" s="1251"/>
      <c r="AI182" s="1251"/>
      <c r="AJ182" s="1910"/>
      <c r="AK182" s="1908"/>
      <c r="AL182" s="1909"/>
      <c r="AM182" s="1251"/>
      <c r="AN182" s="1251"/>
      <c r="AO182" s="1251"/>
      <c r="AP182" s="1251"/>
      <c r="AQ182" s="1251"/>
      <c r="AR182" s="1251"/>
      <c r="AS182" s="1251"/>
      <c r="AT182" s="1251"/>
    </row>
    <row r="183" spans="1:46" ht="14.25" customHeight="1">
      <c r="A183" s="601"/>
      <c r="B183" s="601"/>
      <c r="C183" s="4016" t="s">
        <v>556</v>
      </c>
      <c r="D183" s="4021"/>
      <c r="E183" s="713"/>
      <c r="F183" s="723">
        <f>1000+I143*375/(1000*F181)</f>
        <v>1077.6389631368538</v>
      </c>
      <c r="G183" s="4049" t="s">
        <v>80</v>
      </c>
      <c r="H183" s="4049"/>
      <c r="I183" s="4049"/>
      <c r="J183" s="724">
        <f>J143/(10*F181)</f>
        <v>0.5271476385273336</v>
      </c>
      <c r="K183" s="725" t="s">
        <v>142</v>
      </c>
      <c r="L183" s="276"/>
      <c r="M183" s="276"/>
      <c r="N183" s="276"/>
      <c r="O183" s="276"/>
      <c r="P183" s="4063"/>
      <c r="Q183" s="4063"/>
      <c r="R183" s="4063"/>
      <c r="S183" s="4063"/>
      <c r="T183" s="1846"/>
      <c r="U183" s="1151">
        <f t="shared" si="91"/>
        <v>17.499999999999979</v>
      </c>
      <c r="V183" s="1151">
        <f t="shared" si="93"/>
        <v>496.11624999999935</v>
      </c>
      <c r="W183" s="1616"/>
      <c r="X183" s="1251"/>
      <c r="Y183" s="1251"/>
      <c r="Z183" s="1251"/>
      <c r="AA183" s="1251"/>
      <c r="AB183" s="1251"/>
      <c r="AC183" s="1251"/>
      <c r="AD183" s="1251"/>
      <c r="AE183" s="1251"/>
      <c r="AF183" s="1251"/>
      <c r="AG183" s="1251"/>
      <c r="AH183" s="1251"/>
      <c r="AI183" s="1251"/>
      <c r="AJ183" s="1908"/>
      <c r="AK183" s="1908"/>
      <c r="AL183" s="1909"/>
      <c r="AM183" s="1251"/>
      <c r="AN183" s="1251"/>
      <c r="AO183" s="1251"/>
      <c r="AP183" s="1251"/>
      <c r="AQ183" s="1251"/>
      <c r="AR183" s="1251"/>
      <c r="AS183" s="1251"/>
      <c r="AT183" s="1251"/>
    </row>
    <row r="184" spans="1:46" ht="14.25" customHeight="1">
      <c r="A184" s="601"/>
      <c r="B184" s="601"/>
      <c r="C184" s="3996" t="s">
        <v>557</v>
      </c>
      <c r="D184" s="4017"/>
      <c r="E184" s="713"/>
      <c r="F184" s="723">
        <f>F183-(1.07993715174291*0.375*I143/F181)</f>
        <v>993.79376242256706</v>
      </c>
      <c r="G184" s="4049" t="s">
        <v>81</v>
      </c>
      <c r="H184" s="4049"/>
      <c r="I184" s="4049"/>
      <c r="J184" s="726">
        <f>J183+0.15</f>
        <v>0.67714763852733362</v>
      </c>
      <c r="K184" s="725" t="s">
        <v>142</v>
      </c>
      <c r="L184" s="43"/>
      <c r="M184" s="43"/>
      <c r="N184" s="43"/>
      <c r="O184" s="43"/>
      <c r="P184" s="2289"/>
      <c r="Q184" s="2289"/>
      <c r="R184" s="2289"/>
      <c r="S184" s="2289"/>
      <c r="T184" s="1846"/>
      <c r="U184" s="1151">
        <f t="shared" si="91"/>
        <v>17.59999999999998</v>
      </c>
      <c r="V184" s="1151">
        <f t="shared" si="93"/>
        <v>498.9511999999994</v>
      </c>
      <c r="W184" s="1616"/>
      <c r="X184" s="1251"/>
      <c r="Y184" s="1251"/>
      <c r="Z184" s="1251"/>
      <c r="AA184" s="1251"/>
      <c r="AB184" s="1251"/>
      <c r="AC184" s="1251"/>
      <c r="AD184" s="1251"/>
      <c r="AE184" s="1251"/>
      <c r="AF184" s="1251"/>
      <c r="AG184" s="1251"/>
      <c r="AH184" s="1251"/>
      <c r="AI184" s="1251"/>
      <c r="AJ184" s="1908"/>
      <c r="AK184" s="1908"/>
      <c r="AL184" s="1909"/>
      <c r="AM184" s="1251"/>
      <c r="AN184" s="1251"/>
      <c r="AO184" s="1251"/>
      <c r="AP184" s="1251"/>
      <c r="AQ184" s="1251"/>
      <c r="AR184" s="1251"/>
      <c r="AS184" s="1251"/>
      <c r="AT184" s="1251"/>
    </row>
    <row r="185" spans="1:46" ht="14.25" customHeight="1">
      <c r="A185" s="601"/>
      <c r="B185" s="601"/>
      <c r="C185" s="4016" t="s">
        <v>1601</v>
      </c>
      <c r="D185" s="4017"/>
      <c r="E185" s="713"/>
      <c r="F185" s="727">
        <f>(F183-F184)/(7.75-(3*(F183-1000)/800))</f>
        <v>11.241030052420959</v>
      </c>
      <c r="G185" s="4032" t="s">
        <v>82</v>
      </c>
      <c r="H185" s="4032"/>
      <c r="I185" s="4032"/>
      <c r="J185" s="726">
        <f>K143/(10*F180)</f>
        <v>3.5143175901822241E-2</v>
      </c>
      <c r="K185" s="725" t="s">
        <v>142</v>
      </c>
      <c r="L185" s="2641"/>
      <c r="M185" s="1866"/>
      <c r="N185" s="1866"/>
      <c r="O185" s="1866"/>
      <c r="P185" s="1154"/>
      <c r="Q185" s="1846"/>
      <c r="R185" s="1846"/>
      <c r="S185" s="1846"/>
      <c r="T185" s="1846"/>
      <c r="U185" s="1151">
        <f t="shared" si="91"/>
        <v>17.699999999999982</v>
      </c>
      <c r="V185" s="1153">
        <f t="shared" si="93"/>
        <v>501.78614999999945</v>
      </c>
      <c r="W185" s="1616"/>
      <c r="X185" s="1251"/>
      <c r="Y185" s="1251"/>
      <c r="Z185" s="1251"/>
      <c r="AA185" s="1251"/>
      <c r="AB185" s="1251"/>
      <c r="AC185" s="1251"/>
      <c r="AD185" s="1251"/>
      <c r="AE185" s="1251"/>
      <c r="AF185" s="1251"/>
      <c r="AG185" s="1251"/>
      <c r="AH185" s="1251"/>
      <c r="AI185" s="1251"/>
      <c r="AJ185" s="1251"/>
      <c r="AK185" s="1251"/>
      <c r="AL185" s="1251"/>
      <c r="AM185" s="1251"/>
      <c r="AN185" s="1251"/>
      <c r="AO185" s="1251"/>
      <c r="AP185" s="1251"/>
      <c r="AQ185" s="1251"/>
      <c r="AR185" s="1251"/>
      <c r="AS185" s="1251"/>
      <c r="AT185" s="1251"/>
    </row>
    <row r="186" spans="1:46" ht="14.25" customHeight="1">
      <c r="A186" s="601"/>
      <c r="B186" s="601"/>
      <c r="C186" s="716"/>
      <c r="D186" s="728"/>
      <c r="E186" s="713"/>
      <c r="F186" s="713"/>
      <c r="G186" s="728"/>
      <c r="H186" s="728"/>
      <c r="I186" s="716"/>
      <c r="J186" s="129"/>
      <c r="K186" s="729"/>
      <c r="L186" s="729"/>
      <c r="M186" s="729"/>
      <c r="N186" s="729"/>
      <c r="O186" s="729"/>
      <c r="P186" s="729"/>
      <c r="Q186" s="729"/>
      <c r="R186" s="729"/>
      <c r="S186" s="729"/>
      <c r="T186" s="729"/>
      <c r="U186" s="2603">
        <v>21.1</v>
      </c>
      <c r="V186" s="1145">
        <f>U186*28.3495</f>
        <v>598.17444999999998</v>
      </c>
      <c r="W186" s="1616"/>
      <c r="X186" s="1251"/>
      <c r="Y186" s="1251"/>
      <c r="Z186" s="1251"/>
      <c r="AA186" s="1251"/>
      <c r="AB186" s="1251"/>
      <c r="AC186" s="1251"/>
      <c r="AD186" s="1251"/>
      <c r="AE186" s="1251"/>
      <c r="AF186" s="1251"/>
      <c r="AG186" s="1251"/>
      <c r="AH186" s="1251"/>
      <c r="AI186" s="1251"/>
      <c r="AJ186" s="1251"/>
      <c r="AK186" s="1251"/>
      <c r="AL186" s="1251"/>
      <c r="AM186" s="1251"/>
      <c r="AN186" s="1251"/>
      <c r="AO186" s="1251"/>
      <c r="AP186" s="1251"/>
      <c r="AQ186" s="1251"/>
      <c r="AR186" s="1251"/>
      <c r="AS186" s="1251"/>
      <c r="AT186" s="1251"/>
    </row>
    <row r="187" spans="1:46" ht="14.25" customHeight="1">
      <c r="A187" s="601"/>
      <c r="B187" s="730"/>
      <c r="C187" s="3970" t="s">
        <v>600</v>
      </c>
      <c r="D187" s="3970"/>
      <c r="E187" s="2054"/>
      <c r="F187" s="3992" t="s">
        <v>601</v>
      </c>
      <c r="G187" s="3992"/>
      <c r="H187" s="3992"/>
      <c r="I187" s="3992"/>
      <c r="J187" s="3992"/>
      <c r="K187" s="3992"/>
      <c r="L187" s="3992"/>
      <c r="M187" s="3370" t="s">
        <v>617</v>
      </c>
      <c r="N187" s="3370"/>
      <c r="O187" s="1937"/>
      <c r="P187" s="1937"/>
      <c r="Q187" s="729"/>
      <c r="R187" s="729"/>
      <c r="S187" s="729"/>
      <c r="T187" s="729"/>
      <c r="U187" s="1554" t="s">
        <v>656</v>
      </c>
      <c r="V187" s="1554" t="s">
        <v>133</v>
      </c>
      <c r="W187" s="1616"/>
      <c r="X187" s="1251"/>
      <c r="Y187" s="1251"/>
      <c r="Z187" s="1251"/>
      <c r="AA187" s="1251"/>
      <c r="AB187" s="1251"/>
      <c r="AC187" s="1251"/>
      <c r="AD187" s="1251"/>
      <c r="AE187" s="1251"/>
      <c r="AF187" s="1251"/>
      <c r="AG187" s="1251"/>
      <c r="AH187" s="1251"/>
      <c r="AI187" s="1251"/>
      <c r="AJ187" s="1912"/>
      <c r="AK187" s="1912"/>
      <c r="AL187" s="1912"/>
      <c r="AM187" s="1913">
        <f>D188</f>
        <v>750</v>
      </c>
      <c r="AN187" s="1913">
        <f>O188</f>
        <v>8</v>
      </c>
      <c r="AO187" s="1251"/>
      <c r="AP187" s="1251"/>
      <c r="AQ187" s="1251"/>
      <c r="AR187" s="1251"/>
      <c r="AS187" s="1251"/>
      <c r="AT187" s="1251"/>
    </row>
    <row r="188" spans="1:46" ht="14.25" customHeight="1">
      <c r="A188" s="601"/>
      <c r="B188" s="601"/>
      <c r="C188" s="2568" t="s">
        <v>602</v>
      </c>
      <c r="D188" s="2216">
        <v>750</v>
      </c>
      <c r="E188" s="3966" t="str">
        <f>"("&amp;FIXED(D188/29.5735,1)&amp;" fl oz)"</f>
        <v>(25.4 fl oz)</v>
      </c>
      <c r="F188" s="3966"/>
      <c r="G188" s="3967" t="str">
        <f>"= "&amp;FIXED($AK$188*D188,0)&amp;" calories from the alcohol"</f>
        <v>= 471 calories from the alcohol</v>
      </c>
      <c r="H188" s="3967"/>
      <c r="I188" s="3967"/>
      <c r="J188" s="3717"/>
      <c r="K188" s="1146" t="s">
        <v>167</v>
      </c>
      <c r="L188" s="4165" t="s">
        <v>657</v>
      </c>
      <c r="M188" s="4165"/>
      <c r="N188" s="4165"/>
      <c r="O188" s="2216">
        <v>8</v>
      </c>
      <c r="P188" s="601" t="str">
        <f>"("&amp;FIXED(O188*29.5735,0)&amp;" ml)"</f>
        <v>(237 ml)</v>
      </c>
      <c r="Q188" s="4065" t="str">
        <f>"= "&amp;FIXED($AK$188*O188*29.5735,0)&amp;" calories from the alcohol"</f>
        <v>= 148 calories from the alcohol</v>
      </c>
      <c r="R188" s="4065"/>
      <c r="S188" s="4065"/>
      <c r="T188" s="4065"/>
      <c r="U188" s="2549"/>
      <c r="V188" s="2549"/>
      <c r="W188" s="1616"/>
      <c r="X188" s="1251"/>
      <c r="Y188" s="1251"/>
      <c r="Z188" s="1251"/>
      <c r="AA188" s="1251"/>
      <c r="AB188" s="1251"/>
      <c r="AC188" s="1251"/>
      <c r="AD188" s="1251"/>
      <c r="AE188" s="1251"/>
      <c r="AF188" s="1251"/>
      <c r="AG188" s="1251"/>
      <c r="AH188" s="1251"/>
      <c r="AI188" s="1251"/>
      <c r="AJ188" s="1914">
        <f>F183</f>
        <v>1077.6389631368538</v>
      </c>
      <c r="AK188" s="1915">
        <f>0.01*J$236*(D4-AJ189)/(7.75-(3*(AJ188-1000)/800))</f>
        <v>0.62736840702304408</v>
      </c>
      <c r="AL188" s="1912" t="s">
        <v>21</v>
      </c>
      <c r="AM188" s="1916">
        <f>AK188*D188</f>
        <v>470.52630526728308</v>
      </c>
      <c r="AN188" s="1916">
        <f>AK188*O188</f>
        <v>5.0189472561843527</v>
      </c>
      <c r="AO188" s="1251"/>
      <c r="AP188" s="1251"/>
      <c r="AQ188" s="1251"/>
      <c r="AR188" s="1251"/>
      <c r="AS188" s="1251"/>
      <c r="AT188" s="1251"/>
    </row>
    <row r="189" spans="1:46" ht="14.25" customHeight="1">
      <c r="A189" s="601"/>
      <c r="B189" s="601"/>
      <c r="C189" s="4019"/>
      <c r="D189" s="4019"/>
      <c r="E189" s="2546"/>
      <c r="F189" s="2546"/>
      <c r="G189" s="3967" t="str">
        <f>"= "&amp;FIXED((D$188*$I$238*H172/(1000*$F$177)),0)&amp;" calories from the sweetening sugars"</f>
        <v>= 0 calories from the sweetening sugars</v>
      </c>
      <c r="H189" s="3685"/>
      <c r="I189" s="3685"/>
      <c r="J189" s="3685"/>
      <c r="K189" s="3685"/>
      <c r="L189" s="3685"/>
      <c r="M189" s="2548"/>
      <c r="N189" s="2548"/>
      <c r="O189" s="2573"/>
      <c r="P189" s="601"/>
      <c r="Q189" s="4188" t="str">
        <f>"= "&amp;FIXED(I238*H172*$O$188*29.5735/(1000*$F$177),0)&amp;" calories from the sweetening sugars"</f>
        <v>= 0 calories from the sweetening sugars</v>
      </c>
      <c r="R189" s="4188"/>
      <c r="S189" s="4188"/>
      <c r="T189" s="4188"/>
      <c r="U189" s="2573"/>
      <c r="V189" s="2573"/>
      <c r="W189" s="1616"/>
      <c r="X189" s="1251"/>
      <c r="Y189" s="1251"/>
      <c r="Z189" s="1251"/>
      <c r="AA189" s="1251"/>
      <c r="AB189" s="1251"/>
      <c r="AC189" s="1251"/>
      <c r="AD189" s="1251"/>
      <c r="AE189" s="1251"/>
      <c r="AF189" s="1251"/>
      <c r="AG189" s="1251"/>
      <c r="AH189" s="1251"/>
      <c r="AI189" s="1251"/>
      <c r="AJ189" s="1914">
        <f>F184</f>
        <v>993.79376242256706</v>
      </c>
      <c r="AK189" s="1915">
        <f>L$143/(F$180*1000)</f>
        <v>1.1948679806619561E-2</v>
      </c>
      <c r="AL189" s="1912" t="s">
        <v>21</v>
      </c>
      <c r="AM189" s="1916">
        <f>AK189*D188</f>
        <v>8.961509854964671</v>
      </c>
      <c r="AN189" s="1916">
        <f>AK189*O188</f>
        <v>9.5589438452956491E-2</v>
      </c>
      <c r="AO189" s="1251"/>
      <c r="AP189" s="1251"/>
      <c r="AQ189" s="1251"/>
      <c r="AR189" s="1251"/>
      <c r="AS189" s="1251"/>
      <c r="AT189" s="1251"/>
    </row>
    <row r="190" spans="1:46" ht="14.25" customHeight="1">
      <c r="A190" s="601"/>
      <c r="B190" s="709"/>
      <c r="C190" s="4018"/>
      <c r="D190" s="4018"/>
      <c r="E190" s="2553"/>
      <c r="F190" s="2553"/>
      <c r="G190" s="3967" t="str">
        <f>"= "&amp;FIXED(($AK$189*D$188*$I$238), 1)&amp;" calories from the residual sugars"</f>
        <v>= 34.5 calories from the residual sugars</v>
      </c>
      <c r="H190" s="3685"/>
      <c r="I190" s="3685"/>
      <c r="J190" s="3685"/>
      <c r="K190" s="3685"/>
      <c r="L190" s="3685"/>
      <c r="M190" s="2548"/>
      <c r="N190" s="2539"/>
      <c r="O190" s="2573"/>
      <c r="P190" s="601"/>
      <c r="Q190" s="4188" t="str">
        <f>"= "&amp;FIXED(($AK$189*O$188*29.5735*$I$238), 1)&amp;" calories from the residual sugars"</f>
        <v>= 10.9 calories from the residual sugars</v>
      </c>
      <c r="R190" s="4188"/>
      <c r="S190" s="4188"/>
      <c r="T190" s="4188"/>
      <c r="U190" s="2573"/>
      <c r="V190" s="2573"/>
      <c r="W190" s="1616"/>
      <c r="X190" s="1251"/>
      <c r="Y190" s="1251"/>
      <c r="Z190" s="1251"/>
      <c r="AA190" s="1251"/>
      <c r="AB190" s="1251"/>
      <c r="AC190" s="1251"/>
      <c r="AD190" s="1251"/>
      <c r="AE190" s="1251"/>
      <c r="AF190" s="1251"/>
      <c r="AG190" s="1251"/>
      <c r="AH190" s="1251"/>
      <c r="AI190" s="1251"/>
      <c r="AJ190" s="1914"/>
      <c r="AK190" s="1915">
        <f>SUM(AK188:AK189)</f>
        <v>0.63931708682966359</v>
      </c>
      <c r="AL190" s="1912" t="s">
        <v>21</v>
      </c>
      <c r="AM190" s="1916">
        <f>SUM(AM188:AM189)</f>
        <v>479.48781512224775</v>
      </c>
      <c r="AN190" s="1916">
        <f>SUM(AN188:AN189)</f>
        <v>5.1145366946373088</v>
      </c>
      <c r="AO190" s="1251"/>
      <c r="AP190" s="1251"/>
      <c r="AQ190" s="1251"/>
      <c r="AR190" s="1251"/>
      <c r="AS190" s="1251"/>
      <c r="AT190" s="1251"/>
    </row>
    <row r="191" spans="1:46" ht="14.25" customHeight="1">
      <c r="A191" s="601"/>
      <c r="B191" s="709"/>
      <c r="C191" s="709"/>
      <c r="D191" s="709"/>
      <c r="E191" s="2553"/>
      <c r="F191" s="2553"/>
      <c r="G191" s="3996" t="str">
        <f>"= "&amp;FIXED(($AK$189*D$188)+(D$188*H172/(1000*$F$177)),1)&amp;"g carbohyradates"</f>
        <v>= 9.0g carbohyradates</v>
      </c>
      <c r="H191" s="3996"/>
      <c r="I191" s="3996"/>
      <c r="J191" s="3996"/>
      <c r="K191" s="3996"/>
      <c r="L191" s="3996"/>
      <c r="M191" s="709"/>
      <c r="N191" s="709"/>
      <c r="O191" s="2553"/>
      <c r="P191" s="2553"/>
      <c r="Q191" s="4035" t="str">
        <f>"= "&amp;FIXED(($AK$189*O$188*29.5735)+(O$188*29.5735*H172/(1000*$F$177)),1)&amp;"g carbohyradates"</f>
        <v>= 2.8g carbohyradates</v>
      </c>
      <c r="R191" s="4035"/>
      <c r="S191" s="4035"/>
      <c r="T191" s="4035"/>
      <c r="U191" s="2569"/>
      <c r="V191" s="2569"/>
      <c r="W191" s="1616"/>
      <c r="X191" s="1251"/>
      <c r="Y191" s="1251"/>
      <c r="Z191" s="1251"/>
      <c r="AA191" s="1251"/>
      <c r="AB191" s="1251"/>
      <c r="AC191" s="1251"/>
      <c r="AD191" s="1251"/>
      <c r="AE191" s="1251"/>
      <c r="AF191" s="1251"/>
      <c r="AG191" s="1251"/>
      <c r="AH191" s="1251"/>
      <c r="AI191" s="1251"/>
      <c r="AJ191" s="1912"/>
      <c r="AK191" s="1912"/>
      <c r="AL191" s="1912"/>
      <c r="AM191" s="1917">
        <f>AM189*I238</f>
        <v>34.501812941613984</v>
      </c>
      <c r="AN191" s="1917">
        <f>AN189*I238</f>
        <v>0.36801933804388248</v>
      </c>
      <c r="AO191" s="1251"/>
      <c r="AP191" s="1251"/>
      <c r="AQ191" s="1251"/>
      <c r="AR191" s="1251"/>
      <c r="AS191" s="1251"/>
      <c r="AT191" s="1251"/>
    </row>
    <row r="192" spans="1:46" ht="14.25" customHeight="1">
      <c r="A192" s="601"/>
      <c r="B192" s="709"/>
      <c r="C192" s="709"/>
      <c r="D192" s="3982" t="s">
        <v>603</v>
      </c>
      <c r="E192" s="3982"/>
      <c r="F192" s="3982"/>
      <c r="G192" s="3968" t="str">
        <f>"= "&amp;FIXED((($AK$188*D$188)+($AK$189*D$188*$I$238)),0)&amp;" calories"</f>
        <v>= 505 calories</v>
      </c>
      <c r="H192" s="3968"/>
      <c r="I192" s="3968"/>
      <c r="J192" s="3968"/>
      <c r="K192" s="3968"/>
      <c r="L192" s="3968"/>
      <c r="M192" s="709"/>
      <c r="N192" s="2547"/>
      <c r="O192" s="3982" t="s">
        <v>603</v>
      </c>
      <c r="P192" s="3982"/>
      <c r="Q192" s="4065" t="str">
        <f>"= "&amp;FIXED((($AK$188*29.5735*O$188)+($AK$189*O$188*29.5735*$I$238)),0)&amp;" calories"</f>
        <v>= 159 calories</v>
      </c>
      <c r="R192" s="4065"/>
      <c r="S192" s="4065"/>
      <c r="T192" s="4065"/>
      <c r="U192" s="2549"/>
      <c r="V192" s="2549"/>
      <c r="W192" s="1616"/>
      <c r="X192" s="110"/>
      <c r="Y192" s="1251"/>
      <c r="Z192" s="1251"/>
      <c r="AA192" s="1251"/>
      <c r="AB192" s="1251"/>
      <c r="AC192" s="1251"/>
      <c r="AD192" s="1251"/>
      <c r="AE192" s="1251"/>
      <c r="AF192" s="1251"/>
      <c r="AG192" s="1251"/>
      <c r="AH192" s="1251"/>
      <c r="AI192" s="1251"/>
      <c r="AJ192" s="1912"/>
      <c r="AK192" s="1911"/>
      <c r="AL192" s="1911"/>
      <c r="AM192" s="1918">
        <f>(D4-D5)/(7.75-(3*(D4-1000)/800))</f>
        <v>11.241030052420959</v>
      </c>
      <c r="AN192" s="1918" t="s">
        <v>607</v>
      </c>
      <c r="AO192" s="1251"/>
      <c r="AP192" s="1251"/>
      <c r="AQ192" s="1251"/>
      <c r="AR192" s="1251"/>
      <c r="AS192" s="1251"/>
      <c r="AT192" s="1251"/>
    </row>
    <row r="193" spans="1:46" ht="14.25" customHeight="1">
      <c r="A193" s="601"/>
      <c r="B193" s="601"/>
      <c r="C193" s="709"/>
      <c r="D193" s="3982" t="s">
        <v>608</v>
      </c>
      <c r="E193" s="3982"/>
      <c r="F193" s="3982"/>
      <c r="G193" s="4170" t="str">
        <f>"= "&amp;FIXED($D$188*F185*F182/F177/1000, 1)&amp;" units of alcohol (UK)."</f>
        <v>= 8.4 units of alcohol (UK).</v>
      </c>
      <c r="H193" s="4170"/>
      <c r="I193" s="4170"/>
      <c r="J193" s="4170"/>
      <c r="K193" s="4170"/>
      <c r="L193" s="4170"/>
      <c r="M193" s="709"/>
      <c r="N193" s="2547"/>
      <c r="O193" s="3982" t="s">
        <v>608</v>
      </c>
      <c r="P193" s="3982"/>
      <c r="Q193" s="4169" t="str">
        <f>"= "&amp;FIXED($O$188*29.5735*F185*F182/F177/1000,1)&amp;" units of alcohol (UK)."</f>
        <v>= 2.7 units of alcohol (UK).</v>
      </c>
      <c r="R193" s="4169"/>
      <c r="S193" s="4169"/>
      <c r="T193" s="4169"/>
      <c r="U193" s="1228"/>
      <c r="V193" s="1228"/>
      <c r="W193" s="1616"/>
      <c r="X193" s="110"/>
      <c r="Y193" s="1251"/>
      <c r="Z193" s="1251"/>
      <c r="AA193" s="1251"/>
      <c r="AB193" s="1251"/>
      <c r="AC193" s="1251"/>
      <c r="AD193" s="1251"/>
      <c r="AE193" s="1251"/>
      <c r="AF193" s="1251"/>
      <c r="AG193" s="1251"/>
      <c r="AH193" s="1251"/>
      <c r="AI193" s="1251"/>
      <c r="AJ193" s="3953" t="s">
        <v>232</v>
      </c>
      <c r="AK193" s="3953"/>
      <c r="AL193" s="3953"/>
      <c r="AM193" s="3953"/>
      <c r="AN193" s="3953"/>
      <c r="AO193" s="3953"/>
      <c r="AP193" s="3953"/>
      <c r="AQ193" s="1251"/>
      <c r="AR193" s="2378"/>
      <c r="AS193" s="1919"/>
      <c r="AT193" s="1919"/>
    </row>
    <row r="194" spans="1:46" ht="14.25" customHeight="1">
      <c r="A194" s="601"/>
      <c r="B194" s="1617"/>
      <c r="C194" s="2551"/>
      <c r="D194" s="2551"/>
      <c r="E194" s="2551"/>
      <c r="F194" s="2551"/>
      <c r="G194" s="731"/>
      <c r="H194" s="716"/>
      <c r="I194" s="716"/>
      <c r="J194" s="2561"/>
      <c r="K194" s="1002"/>
      <c r="L194" s="732"/>
      <c r="M194" s="2567"/>
      <c r="N194" s="2572"/>
      <c r="O194" s="2565"/>
      <c r="P194" s="733"/>
      <c r="Q194" s="734"/>
      <c r="R194" s="734"/>
      <c r="S194" s="734"/>
      <c r="T194" s="2565"/>
      <c r="U194" s="2549"/>
      <c r="V194" s="2549"/>
      <c r="W194" s="1616"/>
      <c r="X194" s="110"/>
      <c r="Y194" s="1251"/>
      <c r="Z194" s="1251"/>
      <c r="AA194" s="1251"/>
      <c r="AB194" s="1251"/>
      <c r="AC194" s="1251"/>
      <c r="AD194" s="1251"/>
      <c r="AE194" s="1251"/>
      <c r="AF194" s="1251"/>
      <c r="AG194" s="1251"/>
      <c r="AH194" s="1251"/>
      <c r="AI194" s="1251"/>
      <c r="AJ194" s="1920"/>
      <c r="AK194" s="1908"/>
      <c r="AL194" s="1909"/>
      <c r="AM194" s="1251"/>
      <c r="AN194" s="1251"/>
      <c r="AO194" s="1251"/>
      <c r="AP194" s="1251"/>
      <c r="AQ194" s="1251"/>
      <c r="AR194" s="2378"/>
      <c r="AS194" s="1251"/>
      <c r="AT194" s="1251"/>
    </row>
    <row r="195" spans="1:46" ht="14.25" customHeight="1">
      <c r="A195" s="601"/>
      <c r="B195" s="4010" t="s">
        <v>609</v>
      </c>
      <c r="C195" s="4010"/>
      <c r="D195" s="4010"/>
      <c r="E195" s="4010"/>
      <c r="F195" s="1005"/>
      <c r="G195" s="1005"/>
      <c r="H195" s="1005"/>
      <c r="I195" s="1005"/>
      <c r="J195" s="129"/>
      <c r="K195" s="1002"/>
      <c r="L195" s="2572"/>
      <c r="M195" s="2572"/>
      <c r="N195" s="2572"/>
      <c r="O195" s="2572"/>
      <c r="P195" s="2572"/>
      <c r="Q195" s="734"/>
      <c r="R195" s="2572"/>
      <c r="S195" s="2572"/>
      <c r="T195" s="2572"/>
      <c r="U195" s="716"/>
      <c r="V195" s="716"/>
      <c r="W195" s="1921"/>
      <c r="X195" s="110"/>
      <c r="Y195" s="1251"/>
      <c r="Z195" s="1251"/>
      <c r="AA195" s="1251"/>
      <c r="AB195" s="1251"/>
      <c r="AC195" s="1251"/>
      <c r="AD195" s="1251"/>
      <c r="AE195" s="1251"/>
      <c r="AF195" s="1251"/>
      <c r="AG195" s="1251"/>
      <c r="AH195" s="1251"/>
      <c r="AI195" s="1251"/>
      <c r="AJ195" s="2378"/>
      <c r="AK195" s="2378"/>
      <c r="AL195" s="1909"/>
      <c r="AM195" s="1251"/>
      <c r="AN195" s="1251"/>
      <c r="AO195" s="131" t="s">
        <v>193</v>
      </c>
      <c r="AP195" s="1922">
        <f>89.6/342</f>
        <v>0.26198830409356721</v>
      </c>
      <c r="AQ195" s="1251"/>
      <c r="AR195" s="2378"/>
      <c r="AS195" s="2378"/>
      <c r="AT195" s="2378"/>
    </row>
    <row r="196" spans="1:46" ht="14.25" customHeight="1">
      <c r="A196" s="601"/>
      <c r="B196" s="601"/>
      <c r="C196" s="3993" t="s">
        <v>610</v>
      </c>
      <c r="D196" s="3993"/>
      <c r="E196" s="3993"/>
      <c r="F196" s="3993"/>
      <c r="G196" s="3993"/>
      <c r="H196" s="3993"/>
      <c r="I196" s="3993"/>
      <c r="J196" s="3993"/>
      <c r="K196" s="3993"/>
      <c r="L196" s="2572"/>
      <c r="M196" s="3573" t="s">
        <v>1580</v>
      </c>
      <c r="N196" s="3573"/>
      <c r="O196" s="3573"/>
      <c r="P196" s="735"/>
      <c r="Q196" s="734"/>
      <c r="R196" s="3987" t="s">
        <v>611</v>
      </c>
      <c r="S196" s="3987"/>
      <c r="T196" s="2219">
        <v>0.1111</v>
      </c>
      <c r="U196" s="4191" t="str">
        <f>"oz ="&amp;FIXED(T196*28.3495,2)&amp;" g"</f>
        <v>oz =3.15 g</v>
      </c>
      <c r="V196" s="4191"/>
      <c r="W196" s="2515"/>
      <c r="X196" s="110"/>
      <c r="Y196" s="1251"/>
      <c r="Z196" s="1251"/>
      <c r="AA196" s="1251"/>
      <c r="AB196" s="1251"/>
      <c r="AC196" s="1251"/>
      <c r="AD196" s="1251"/>
      <c r="AE196" s="1251"/>
      <c r="AF196" s="1251"/>
      <c r="AG196" s="1251"/>
      <c r="AH196" s="1251"/>
      <c r="AI196" s="1251"/>
      <c r="AJ196" s="2378"/>
      <c r="AK196" s="2378"/>
      <c r="AL196" s="1909"/>
      <c r="AM196" s="1251"/>
      <c r="AN196" s="1251"/>
      <c r="AO196" s="132" t="s">
        <v>173</v>
      </c>
      <c r="AP196" s="133" t="s">
        <v>592</v>
      </c>
      <c r="AQ196" s="1251"/>
      <c r="AR196" s="2378"/>
      <c r="AS196" s="2378"/>
      <c r="AT196" s="2378"/>
    </row>
    <row r="197" spans="1:46" ht="14.25" customHeight="1">
      <c r="A197" s="601"/>
      <c r="B197" s="721"/>
      <c r="C197" s="692"/>
      <c r="D197" s="1230"/>
      <c r="E197" s="1230"/>
      <c r="F197" s="2725"/>
      <c r="G197" s="736"/>
      <c r="H197" s="737"/>
      <c r="I197" s="738"/>
      <c r="J197" s="134"/>
      <c r="K197" s="337"/>
      <c r="L197" s="2572"/>
      <c r="M197" s="3994" t="str">
        <f>"(Presently set to "&amp;FIXED(E170,0)&amp;")"</f>
        <v>(Presently set to 0)</v>
      </c>
      <c r="N197" s="3994"/>
      <c r="O197" s="3994"/>
      <c r="P197" s="735"/>
      <c r="Q197" s="734"/>
      <c r="R197" s="2551"/>
      <c r="S197" s="1817" t="s">
        <v>656</v>
      </c>
      <c r="T197" s="1817" t="s">
        <v>619</v>
      </c>
      <c r="U197" s="740" t="s">
        <v>24</v>
      </c>
      <c r="V197" s="1154"/>
      <c r="W197" s="135"/>
      <c r="X197" s="110"/>
      <c r="Y197" s="1251"/>
      <c r="Z197" s="1251"/>
      <c r="AA197" s="1251"/>
      <c r="AB197" s="1251"/>
      <c r="AC197" s="1251"/>
      <c r="AD197" s="1251"/>
      <c r="AE197" s="1251"/>
      <c r="AF197" s="1251"/>
      <c r="AG197" s="1251"/>
      <c r="AH197" s="1251"/>
      <c r="AI197" s="1251"/>
      <c r="AJ197" s="2378"/>
      <c r="AK197" s="2378"/>
      <c r="AL197" s="1909"/>
      <c r="AM197" s="1251"/>
      <c r="AN197" s="1251"/>
      <c r="AO197" s="136" t="s">
        <v>174</v>
      </c>
      <c r="AP197" s="137" t="s">
        <v>175</v>
      </c>
      <c r="AQ197" s="1251"/>
      <c r="AR197" s="2378"/>
      <c r="AS197" s="2378"/>
      <c r="AT197" s="2378"/>
    </row>
    <row r="198" spans="1:46" ht="14.25" customHeight="1">
      <c r="A198" s="601"/>
      <c r="B198" s="721"/>
      <c r="C198" s="3984" t="s">
        <v>612</v>
      </c>
      <c r="D198" s="3984"/>
      <c r="E198" s="2560"/>
      <c r="F198" s="2217">
        <v>0</v>
      </c>
      <c r="G198" s="2990" t="str">
        <f>"oz ("&amp;FIXED(F198*28.3495)&amp;" g)/litre, this is equivalent to "&amp;FIXED(F198*28.3495/T196)&amp;" level 5ml tsp for a 1000ml bottle or "&amp;FIXED(F198*28.3495*D7,0)&amp;"g in total."</f>
        <v>oz (0.00 g)/litre, this is equivalent to 0.00 level 5ml tsp for a 1000ml bottle or 0g in total.</v>
      </c>
      <c r="H198" s="2990"/>
      <c r="I198" s="2990"/>
      <c r="J198" s="2990"/>
      <c r="K198" s="2990"/>
      <c r="L198" s="2990"/>
      <c r="M198" s="2990"/>
      <c r="N198" s="2990"/>
      <c r="O198" s="2990"/>
      <c r="P198" s="2476"/>
      <c r="Q198" s="1932"/>
      <c r="R198" s="1932"/>
      <c r="S198" s="1817">
        <f>T198*T196</f>
        <v>0.34996500000000003</v>
      </c>
      <c r="T198" s="2220">
        <v>3.15</v>
      </c>
      <c r="U198" s="1867">
        <f>T198/3.15</f>
        <v>1</v>
      </c>
      <c r="V198" s="739"/>
      <c r="W198" s="2515"/>
      <c r="X198" s="110"/>
      <c r="Y198" s="1251"/>
      <c r="Z198" s="1251"/>
      <c r="AA198" s="1251"/>
      <c r="AB198" s="1251"/>
      <c r="AC198" s="1251"/>
      <c r="AD198" s="1251"/>
      <c r="AE198" s="1251"/>
      <c r="AF198" s="1251"/>
      <c r="AG198" s="1251"/>
      <c r="AH198" s="1251"/>
      <c r="AI198" s="1251"/>
      <c r="AJ198" s="2378"/>
      <c r="AK198" s="2378"/>
      <c r="AL198" s="1909"/>
      <c r="AM198" s="1251"/>
      <c r="AN198" s="1251"/>
      <c r="AO198" s="2709">
        <v>0</v>
      </c>
      <c r="AP198" s="2711">
        <v>1.7130000000000001</v>
      </c>
      <c r="AQ198" s="1251"/>
      <c r="AR198" s="110"/>
      <c r="AS198" s="110"/>
      <c r="AT198" s="110"/>
    </row>
    <row r="199" spans="1:46" ht="14.25" customHeight="1">
      <c r="A199" s="601"/>
      <c r="B199" s="721"/>
      <c r="C199" s="4171" t="s">
        <v>618</v>
      </c>
      <c r="D199" s="4171"/>
      <c r="E199" s="2585"/>
      <c r="F199" s="2217">
        <v>1000</v>
      </c>
      <c r="G199" s="2990" t="str">
        <f>"ml, use "&amp;FIXED((F198)*(F199/1000),2)&amp;" oz ("&amp;FIXED(F198*28.3495*(F199/1000),2)&amp;")g, this is equivalent to "&amp;FIXED(((F199/1000)*F198/T196),2)&amp;" level 5ml tsp per bottle."</f>
        <v>ml, use 0.00 oz (0.00)g, this is equivalent to 0.00 level 5ml tsp per bottle.</v>
      </c>
      <c r="H199" s="2990"/>
      <c r="I199" s="2990"/>
      <c r="J199" s="2990"/>
      <c r="K199" s="2990"/>
      <c r="L199" s="2990"/>
      <c r="M199" s="2990"/>
      <c r="N199" s="2990"/>
      <c r="O199" s="2990"/>
      <c r="P199" s="1932"/>
      <c r="Q199" s="1154"/>
      <c r="R199" s="1154"/>
      <c r="S199" s="1154"/>
      <c r="T199" s="1154"/>
      <c r="U199" s="739"/>
      <c r="V199" s="739"/>
      <c r="W199" s="2515"/>
      <c r="X199" s="110"/>
      <c r="Y199" s="1251"/>
      <c r="Z199" s="1251"/>
      <c r="AA199" s="1251"/>
      <c r="AB199" s="1251"/>
      <c r="AC199" s="1251"/>
      <c r="AD199" s="1251"/>
      <c r="AE199" s="1251"/>
      <c r="AF199" s="1251"/>
      <c r="AG199" s="1251"/>
      <c r="AH199" s="1251"/>
      <c r="AI199" s="1251"/>
      <c r="AJ199" s="2378"/>
      <c r="AK199" s="2378"/>
      <c r="AL199" s="1909"/>
      <c r="AM199" s="1251"/>
      <c r="AN199" s="1251"/>
      <c r="AO199" s="2709">
        <v>1</v>
      </c>
      <c r="AP199" s="2711">
        <v>1.6459999999999999</v>
      </c>
      <c r="AQ199" s="1251"/>
      <c r="AR199" s="2376"/>
      <c r="AS199" s="2376"/>
      <c r="AT199" s="110"/>
    </row>
    <row r="200" spans="1:46" ht="14.25" customHeight="1">
      <c r="A200" s="601"/>
      <c r="B200" s="741"/>
      <c r="C200" s="4009" t="s">
        <v>199</v>
      </c>
      <c r="D200" s="3569"/>
      <c r="E200" s="2585"/>
      <c r="F200" s="2218">
        <v>20</v>
      </c>
      <c r="G200" s="4006" t="s">
        <v>1619</v>
      </c>
      <c r="H200" s="4006"/>
      <c r="I200" s="4006"/>
      <c r="J200" s="2287"/>
      <c r="K200" s="2287"/>
      <c r="L200" s="2287"/>
      <c r="M200" s="2287"/>
      <c r="N200" s="2287"/>
      <c r="O200" s="2287"/>
      <c r="P200" s="1932"/>
      <c r="Q200" s="1154"/>
      <c r="R200" s="1154"/>
      <c r="S200" s="1154"/>
      <c r="T200" s="1154"/>
      <c r="U200" s="748"/>
      <c r="V200" s="739"/>
      <c r="W200" s="2515"/>
      <c r="X200" s="110"/>
      <c r="Y200" s="1251"/>
      <c r="Z200" s="1251"/>
      <c r="AA200" s="1251"/>
      <c r="AB200" s="1251"/>
      <c r="AC200" s="1251"/>
      <c r="AD200" s="1251"/>
      <c r="AE200" s="1251"/>
      <c r="AF200" s="1251"/>
      <c r="AG200" s="1251"/>
      <c r="AH200" s="1251"/>
      <c r="AI200" s="1251"/>
      <c r="AJ200" s="2378"/>
      <c r="AK200" s="2378"/>
      <c r="AL200" s="1909"/>
      <c r="AM200" s="1251"/>
      <c r="AN200" s="1251"/>
      <c r="AO200" s="2709">
        <v>2</v>
      </c>
      <c r="AP200" s="2712">
        <v>1.5840000000000001</v>
      </c>
      <c r="AQ200" s="1251"/>
      <c r="AR200" s="1251"/>
      <c r="AS200" s="2376"/>
      <c r="AT200" s="110"/>
    </row>
    <row r="201" spans="1:46" ht="14.25" customHeight="1">
      <c r="A201" s="721"/>
      <c r="B201" s="741"/>
      <c r="C201" s="3980" t="s">
        <v>1174</v>
      </c>
      <c r="D201" s="3980"/>
      <c r="E201" s="2585"/>
      <c r="F201" s="742">
        <f>F198*28.3495*AP195+VLOOKUP(F200,AO198:AP241,2)</f>
        <v>0.877</v>
      </c>
      <c r="G201" s="2574"/>
      <c r="H201" s="2285" t="s">
        <v>620</v>
      </c>
      <c r="I201" s="2285"/>
      <c r="J201" s="2285"/>
      <c r="K201" s="2285"/>
      <c r="L201" s="2285"/>
      <c r="M201" s="2285"/>
      <c r="N201" s="2285"/>
      <c r="O201" s="2285"/>
      <c r="P201" s="2285"/>
      <c r="Q201" s="2285"/>
      <c r="R201" s="1154"/>
      <c r="S201" s="1154"/>
      <c r="T201" s="1154"/>
      <c r="U201" s="1154"/>
      <c r="V201" s="1154"/>
      <c r="W201" s="1616"/>
      <c r="X201" s="1251"/>
      <c r="Y201" s="1251"/>
      <c r="Z201" s="1251"/>
      <c r="AA201" s="1251"/>
      <c r="AB201" s="1251"/>
      <c r="AC201" s="1251"/>
      <c r="AD201" s="1251"/>
      <c r="AE201" s="1251"/>
      <c r="AF201" s="1251"/>
      <c r="AG201" s="1251"/>
      <c r="AH201" s="1251"/>
      <c r="AI201" s="1251"/>
      <c r="AJ201" s="2378"/>
      <c r="AK201" s="2378"/>
      <c r="AL201" s="1909"/>
      <c r="AM201" s="1251"/>
      <c r="AN201" s="1251"/>
      <c r="AO201" s="2709">
        <v>3</v>
      </c>
      <c r="AP201" s="2712">
        <v>1.53</v>
      </c>
      <c r="AQ201" s="1251"/>
      <c r="AR201" s="1251"/>
      <c r="AS201" s="2376"/>
      <c r="AT201" s="110"/>
    </row>
    <row r="202" spans="1:46" ht="14.25" customHeight="1">
      <c r="A202" s="721"/>
      <c r="B202" s="721"/>
      <c r="C202" s="4168" t="s">
        <v>621</v>
      </c>
      <c r="D202" s="4168"/>
      <c r="E202" s="2585"/>
      <c r="F202" s="743">
        <f>D$4+0.375*F198*28.3495</f>
        <v>1077.6389631368538</v>
      </c>
      <c r="G202" s="1154"/>
      <c r="H202" s="744"/>
      <c r="I202" s="721"/>
      <c r="J202" s="2476"/>
      <c r="K202" s="2476"/>
      <c r="L202" s="2476"/>
      <c r="M202" s="2476"/>
      <c r="N202" s="2476"/>
      <c r="O202" s="2476"/>
      <c r="P202" s="2476"/>
      <c r="Q202" s="2476"/>
      <c r="R202" s="2476"/>
      <c r="S202" s="2476"/>
      <c r="T202" s="2476"/>
      <c r="U202" s="739"/>
      <c r="V202" s="739"/>
      <c r="W202" s="2515"/>
      <c r="X202" s="1251"/>
      <c r="Y202" s="1251"/>
      <c r="Z202" s="1251"/>
      <c r="AA202" s="1251"/>
      <c r="AB202" s="1251"/>
      <c r="AC202" s="1251"/>
      <c r="AD202" s="1251"/>
      <c r="AE202" s="1251"/>
      <c r="AF202" s="1251"/>
      <c r="AG202" s="1251"/>
      <c r="AH202" s="1251"/>
      <c r="AI202" s="1251"/>
      <c r="AJ202" s="2378"/>
      <c r="AK202" s="2378"/>
      <c r="AL202" s="1909"/>
      <c r="AM202" s="1251"/>
      <c r="AN202" s="1251"/>
      <c r="AO202" s="2709">
        <v>4</v>
      </c>
      <c r="AP202" s="2712">
        <v>1.4730000000000001</v>
      </c>
      <c r="AQ202" s="1251"/>
      <c r="AR202" s="1251"/>
      <c r="AS202" s="2376"/>
      <c r="AT202" s="110"/>
    </row>
    <row r="203" spans="1:46" ht="14.25" customHeight="1">
      <c r="A203" s="721"/>
      <c r="B203" s="721"/>
      <c r="C203" s="4168" t="s">
        <v>622</v>
      </c>
      <c r="D203" s="4168"/>
      <c r="E203" s="2585"/>
      <c r="F203" s="743">
        <f>F184-(1.07993715174291*0.375*F198*28.3495/D7)</f>
        <v>993.79376242256706</v>
      </c>
      <c r="G203" s="1154"/>
      <c r="H203" s="721"/>
      <c r="I203" s="721"/>
      <c r="J203" s="2108"/>
      <c r="K203" s="2108"/>
      <c r="L203" s="2108"/>
      <c r="M203" s="2108"/>
      <c r="N203" s="2108"/>
      <c r="O203" s="1866"/>
      <c r="P203" s="2108"/>
      <c r="Q203" s="1221"/>
      <c r="R203" s="3569" t="s">
        <v>1550</v>
      </c>
      <c r="S203" s="3569"/>
      <c r="T203" s="231">
        <v>3.15</v>
      </c>
      <c r="U203" s="3349" t="str">
        <f>"g = "&amp;FIXED((T203*0.035274),4)&amp;" oz"</f>
        <v>g = 0.1111 oz</v>
      </c>
      <c r="V203" s="3349"/>
      <c r="W203" s="1616"/>
      <c r="X203" s="1251"/>
      <c r="Y203" s="1251"/>
      <c r="Z203" s="1251"/>
      <c r="AA203" s="1251"/>
      <c r="AB203" s="1251"/>
      <c r="AC203" s="1251"/>
      <c r="AD203" s="1251"/>
      <c r="AE203" s="1251"/>
      <c r="AF203" s="1251"/>
      <c r="AG203" s="1251"/>
      <c r="AH203" s="1251"/>
      <c r="AI203" s="1251"/>
      <c r="AJ203" s="2378"/>
      <c r="AK203" s="2378"/>
      <c r="AL203" s="1909"/>
      <c r="AM203" s="1251"/>
      <c r="AN203" s="1251"/>
      <c r="AO203" s="2709">
        <v>5</v>
      </c>
      <c r="AP203" s="2712">
        <v>1.4239999999999999</v>
      </c>
      <c r="AQ203" s="1251"/>
      <c r="AR203" s="1251"/>
      <c r="AS203" s="110"/>
      <c r="AT203" s="110"/>
    </row>
    <row r="204" spans="1:46" ht="14.25" customHeight="1">
      <c r="A204" s="721"/>
      <c r="B204" s="721"/>
      <c r="C204" s="4168" t="s">
        <v>623</v>
      </c>
      <c r="D204" s="4168"/>
      <c r="E204" s="2585"/>
      <c r="F204" s="745">
        <f>(F202-F203)/(7.75-(3*(F202-1000)/800))</f>
        <v>11.241030052420959</v>
      </c>
      <c r="G204" s="721" t="s">
        <v>152</v>
      </c>
      <c r="H204" s="721"/>
      <c r="I204" s="1251"/>
      <c r="J204" s="2476"/>
      <c r="K204" s="2476"/>
      <c r="L204" s="2476"/>
      <c r="M204" s="2476"/>
      <c r="N204" s="2476"/>
      <c r="O204" s="2476"/>
      <c r="P204" s="2476"/>
      <c r="Q204" s="1221"/>
      <c r="R204" s="1221"/>
      <c r="S204" s="1718" t="s">
        <v>24</v>
      </c>
      <c r="T204" s="1718" t="s">
        <v>131</v>
      </c>
      <c r="U204" s="1718" t="s">
        <v>130</v>
      </c>
      <c r="V204" s="1847"/>
      <c r="W204" s="2515"/>
      <c r="X204" s="1251"/>
      <c r="Y204" s="1251"/>
      <c r="Z204" s="1251"/>
      <c r="AA204" s="1251"/>
      <c r="AB204" s="1251"/>
      <c r="AC204" s="1251"/>
      <c r="AD204" s="1251"/>
      <c r="AE204" s="1251"/>
      <c r="AF204" s="1251"/>
      <c r="AG204" s="1251"/>
      <c r="AH204" s="1251"/>
      <c r="AI204" s="1251"/>
      <c r="AJ204" s="2378"/>
      <c r="AK204" s="2378"/>
      <c r="AL204" s="1909"/>
      <c r="AM204" s="1251"/>
      <c r="AN204" s="1251"/>
      <c r="AO204" s="2709">
        <v>6</v>
      </c>
      <c r="AP204" s="2712">
        <v>1.377</v>
      </c>
      <c r="AQ204" s="1251"/>
      <c r="AR204" s="1251"/>
      <c r="AS204" s="110"/>
      <c r="AT204" s="110"/>
    </row>
    <row r="205" spans="1:46" ht="14.25" customHeight="1">
      <c r="A205" s="721"/>
      <c r="B205" s="721"/>
      <c r="C205" s="2108"/>
      <c r="D205" s="2108"/>
      <c r="E205" s="2585"/>
      <c r="F205" s="2585"/>
      <c r="G205" s="2554"/>
      <c r="H205" s="2584"/>
      <c r="I205" s="746"/>
      <c r="J205" s="2108"/>
      <c r="K205" s="2476"/>
      <c r="L205" s="2557"/>
      <c r="M205" s="2108"/>
      <c r="N205" s="2108"/>
      <c r="O205" s="2108"/>
      <c r="P205" s="2108"/>
      <c r="Q205" s="1221"/>
      <c r="R205" s="1221"/>
      <c r="S205" s="1721">
        <v>1</v>
      </c>
      <c r="T205" s="1720">
        <f>T203*S205*0.035274</f>
        <v>0.11111309999999999</v>
      </c>
      <c r="U205" s="1719">
        <f>S205*T203</f>
        <v>3.15</v>
      </c>
      <c r="V205" s="739"/>
      <c r="W205" s="1614"/>
      <c r="X205" s="1251"/>
      <c r="Y205" s="1251"/>
      <c r="Z205" s="1251"/>
      <c r="AA205" s="1251"/>
      <c r="AB205" s="1251"/>
      <c r="AC205" s="1251"/>
      <c r="AD205" s="1251"/>
      <c r="AE205" s="1251"/>
      <c r="AF205" s="1251"/>
      <c r="AG205" s="1251"/>
      <c r="AH205" s="1251"/>
      <c r="AI205" s="1251"/>
      <c r="AJ205" s="2378"/>
      <c r="AK205" s="2378"/>
      <c r="AL205" s="1909"/>
      <c r="AM205" s="1251"/>
      <c r="AN205" s="1251"/>
      <c r="AO205" s="2709">
        <v>7</v>
      </c>
      <c r="AP205" s="2712">
        <v>1.331</v>
      </c>
      <c r="AQ205" s="1251"/>
      <c r="AR205" s="1251"/>
      <c r="AS205" s="1251"/>
      <c r="AT205" s="1251"/>
    </row>
    <row r="206" spans="1:46" ht="14.25" customHeight="1">
      <c r="A206" s="601"/>
      <c r="B206" s="693"/>
      <c r="C206" s="3991" t="s">
        <v>600</v>
      </c>
      <c r="D206" s="2966"/>
      <c r="E206" s="2585"/>
      <c r="F206" s="3992" t="s">
        <v>1063</v>
      </c>
      <c r="G206" s="3992"/>
      <c r="H206" s="3992"/>
      <c r="I206" s="3992"/>
      <c r="J206" s="3992"/>
      <c r="K206" s="3992"/>
      <c r="L206" s="3992"/>
      <c r="M206" s="3370" t="s">
        <v>617</v>
      </c>
      <c r="N206" s="3370"/>
      <c r="O206" s="1937"/>
      <c r="P206" s="1937"/>
      <c r="Q206" s="1937"/>
      <c r="R206" s="2548"/>
      <c r="S206" s="2548"/>
      <c r="T206" s="2551"/>
      <c r="U206" s="2551"/>
      <c r="V206" s="739"/>
      <c r="W206" s="1614"/>
      <c r="X206" s="1251"/>
      <c r="Y206" s="1251"/>
      <c r="Z206" s="1251"/>
      <c r="AA206" s="1251"/>
      <c r="AB206" s="1251"/>
      <c r="AC206" s="1251"/>
      <c r="AD206" s="1251"/>
      <c r="AE206" s="1251"/>
      <c r="AF206" s="1251"/>
      <c r="AG206" s="1251"/>
      <c r="AH206" s="1251"/>
      <c r="AI206" s="1251"/>
      <c r="AJ206" s="2378"/>
      <c r="AK206" s="2378"/>
      <c r="AL206" s="1909"/>
      <c r="AM206" s="1251"/>
      <c r="AN206" s="1251"/>
      <c r="AO206" s="2709">
        <v>8</v>
      </c>
      <c r="AP206" s="2712">
        <v>1.282</v>
      </c>
      <c r="AQ206" s="1251"/>
      <c r="AR206" s="1251"/>
      <c r="AS206" s="1251"/>
      <c r="AT206" s="1251"/>
    </row>
    <row r="207" spans="1:46" ht="14.25" customHeight="1">
      <c r="A207" s="601"/>
      <c r="B207" s="601"/>
      <c r="C207" s="2568" t="s">
        <v>602</v>
      </c>
      <c r="D207" s="2216">
        <v>750</v>
      </c>
      <c r="E207" s="3966" t="str">
        <f>"("&amp;FIXED(D207/29.5735,1)&amp;" fl oz)"</f>
        <v>(25.4 fl oz)</v>
      </c>
      <c r="F207" s="3966"/>
      <c r="G207" s="3986" t="str">
        <f>"= "&amp;FIXED($AK$207*D207,0)&amp;" calories from the alcohol"</f>
        <v>= 471 calories from the alcohol</v>
      </c>
      <c r="H207" s="3986"/>
      <c r="I207" s="3986"/>
      <c r="J207" s="3986"/>
      <c r="K207" s="1957" t="s">
        <v>624</v>
      </c>
      <c r="L207" s="3987" t="s">
        <v>657</v>
      </c>
      <c r="M207" s="3988"/>
      <c r="N207" s="3988"/>
      <c r="O207" s="2216">
        <v>8</v>
      </c>
      <c r="P207" s="601" t="str">
        <f>"("&amp;FIXED(O207*29.5735,0)&amp;" ml)"</f>
        <v>(237 ml)</v>
      </c>
      <c r="Q207" s="4188" t="str">
        <f>"= "&amp;FIXED($AK$207*O207*29.5735,0)&amp;" calories from the alcohol"</f>
        <v>= 148 calories from the alcohol</v>
      </c>
      <c r="R207" s="4188"/>
      <c r="S207" s="4188"/>
      <c r="T207" s="4188"/>
      <c r="U207" s="2573"/>
      <c r="V207" s="2573"/>
      <c r="W207" s="1614"/>
      <c r="X207" s="1251"/>
      <c r="Y207" s="1251"/>
      <c r="Z207" s="1251"/>
      <c r="AA207" s="1251"/>
      <c r="AB207" s="1251"/>
      <c r="AC207" s="1251"/>
      <c r="AD207" s="1251"/>
      <c r="AE207" s="1251"/>
      <c r="AF207" s="1251"/>
      <c r="AG207" s="1251"/>
      <c r="AH207" s="1251"/>
      <c r="AI207" s="1251"/>
      <c r="AJ207" s="1914">
        <f>F202</f>
        <v>1077.6389631368538</v>
      </c>
      <c r="AK207" s="1915">
        <f>0.01*J$236*(F202-AJ208)/(7.75-(3*(AJ207-1000)/800))</f>
        <v>0.62736840702304408</v>
      </c>
      <c r="AL207" s="1912" t="s">
        <v>21</v>
      </c>
      <c r="AM207" s="1916">
        <f>AK207*D207</f>
        <v>470.52630526728308</v>
      </c>
      <c r="AN207" s="1916">
        <f>AK207*O207</f>
        <v>5.0189472561843527</v>
      </c>
      <c r="AO207" s="2709">
        <v>9</v>
      </c>
      <c r="AP207" s="2712">
        <v>1.2370000000000001</v>
      </c>
      <c r="AQ207" s="1251"/>
      <c r="AR207" s="1251"/>
      <c r="AS207" s="1251"/>
      <c r="AT207" s="1251"/>
    </row>
    <row r="208" spans="1:46" ht="14.25" customHeight="1">
      <c r="A208" s="601"/>
      <c r="B208" s="721"/>
      <c r="C208" s="3981"/>
      <c r="D208" s="3981"/>
      <c r="E208" s="2562"/>
      <c r="F208" s="2562"/>
      <c r="G208" s="3969" t="str">
        <f>"= "&amp;FIXED($I$238*H172*D$207/(1000*$F$177),0)&amp;" calories from the sweetening sugars"</f>
        <v>= 0 calories from the sweetening sugars</v>
      </c>
      <c r="H208" s="3969"/>
      <c r="I208" s="3969"/>
      <c r="J208" s="3969"/>
      <c r="K208" s="3969"/>
      <c r="L208" s="4012" t="s">
        <v>625</v>
      </c>
      <c r="M208" s="4012"/>
      <c r="N208" s="4012"/>
      <c r="O208" s="4012"/>
      <c r="P208" s="721"/>
      <c r="Q208" s="4192" t="str">
        <f>"= "&amp;FIXED($I$238*H172*O$207*29.5735/(1000*$F$177),0)&amp;" calories from the sweetening sugars"</f>
        <v>= 0 calories from the sweetening sugars</v>
      </c>
      <c r="R208" s="4192"/>
      <c r="S208" s="4192"/>
      <c r="T208" s="4192"/>
      <c r="U208" s="2554"/>
      <c r="V208" s="2554"/>
      <c r="W208" s="1614"/>
      <c r="X208" s="1251"/>
      <c r="Y208" s="1251"/>
      <c r="Z208" s="1251"/>
      <c r="AA208" s="1251"/>
      <c r="AB208" s="1251"/>
      <c r="AC208" s="1251"/>
      <c r="AD208" s="1251"/>
      <c r="AE208" s="1251"/>
      <c r="AF208" s="1251"/>
      <c r="AG208" s="1251"/>
      <c r="AH208" s="1251"/>
      <c r="AI208" s="1251"/>
      <c r="AJ208" s="1914">
        <f>F203</f>
        <v>993.79376242256706</v>
      </c>
      <c r="AK208" s="1915">
        <f>L$143/(F$180*1000)</f>
        <v>1.1948679806619561E-2</v>
      </c>
      <c r="AL208" s="1912" t="s">
        <v>21</v>
      </c>
      <c r="AM208" s="1916">
        <f>AK208*D207</f>
        <v>8.961509854964671</v>
      </c>
      <c r="AN208" s="1916">
        <f>AK208*O207</f>
        <v>9.5589438452956491E-2</v>
      </c>
      <c r="AO208" s="2709">
        <v>10</v>
      </c>
      <c r="AP208" s="2712">
        <v>1.194</v>
      </c>
      <c r="AQ208" s="1251"/>
      <c r="AR208" s="1251"/>
      <c r="AS208" s="1251"/>
      <c r="AT208" s="1251"/>
    </row>
    <row r="209" spans="1:46" ht="14.25" customHeight="1">
      <c r="A209" s="601"/>
      <c r="B209" s="721"/>
      <c r="C209" s="3981"/>
      <c r="D209" s="3981"/>
      <c r="E209" s="2562"/>
      <c r="F209" s="2562"/>
      <c r="G209" s="4174" t="str">
        <f>"= "&amp;FIXED(($AK$208*D$207*$I$238), 1)&amp;" calories from the residual sugars"</f>
        <v>= 34.5 calories from the residual sugars</v>
      </c>
      <c r="H209" s="4174"/>
      <c r="I209" s="4174"/>
      <c r="J209" s="4174"/>
      <c r="K209" s="4174"/>
      <c r="L209" s="3989" t="s">
        <v>1581</v>
      </c>
      <c r="M209" s="3989"/>
      <c r="N209" s="3989"/>
      <c r="O209" s="3989"/>
      <c r="P209" s="721"/>
      <c r="Q209" s="4192" t="str">
        <f>"= "&amp;FIXED(($AK$208*O$207*29.5735*$I$238), 1)&amp;" calories from the residual sugars"</f>
        <v>= 10.9 calories from the residual sugars</v>
      </c>
      <c r="R209" s="4192"/>
      <c r="S209" s="4192"/>
      <c r="T209" s="4192"/>
      <c r="U209" s="2554"/>
      <c r="V209" s="2554"/>
      <c r="W209" s="1615"/>
      <c r="X209" s="1251"/>
      <c r="Y209" s="1251"/>
      <c r="Z209" s="1251"/>
      <c r="AA209" s="1251"/>
      <c r="AB209" s="1251"/>
      <c r="AC209" s="1251"/>
      <c r="AD209" s="1251"/>
      <c r="AE209" s="1251"/>
      <c r="AF209" s="1251"/>
      <c r="AG209" s="1251"/>
      <c r="AH209" s="1251"/>
      <c r="AI209" s="1251"/>
      <c r="AJ209" s="1912"/>
      <c r="AK209" s="1923">
        <f>SUM(AK207:AK208)</f>
        <v>0.63931708682966359</v>
      </c>
      <c r="AL209" s="1912" t="s">
        <v>21</v>
      </c>
      <c r="AM209" s="1916">
        <f>SUM(AM207:AM208)</f>
        <v>479.48781512224775</v>
      </c>
      <c r="AN209" s="1916">
        <f>SUM(AN207:AN208)</f>
        <v>5.1145366946373088</v>
      </c>
      <c r="AO209" s="2709">
        <v>11</v>
      </c>
      <c r="AP209" s="2712">
        <v>1.1539999999999999</v>
      </c>
      <c r="AQ209" s="1251"/>
      <c r="AR209" s="1251"/>
      <c r="AS209" s="1251"/>
      <c r="AT209" s="1251"/>
    </row>
    <row r="210" spans="1:46" ht="14.25" customHeight="1">
      <c r="A210" s="601"/>
      <c r="B210" s="721"/>
      <c r="C210" s="3981"/>
      <c r="D210" s="3981"/>
      <c r="E210" s="2562"/>
      <c r="F210" s="2562"/>
      <c r="G210" s="4005" t="str">
        <f>"= "&amp;FIXED(($AK$208*D$207)+(D$207*H172/(1000*$F$177)),1)&amp;"g carbohyradates"</f>
        <v>= 9.0g carbohyradates</v>
      </c>
      <c r="H210" s="4005"/>
      <c r="I210" s="4005"/>
      <c r="J210" s="4005"/>
      <c r="K210" s="2558"/>
      <c r="L210" s="4007" t="str">
        <f>"(Presently set to "&amp;FIXED(E170,0)&amp;")"</f>
        <v>(Presently set to 0)</v>
      </c>
      <c r="M210" s="4008"/>
      <c r="N210" s="4008"/>
      <c r="O210" s="4008"/>
      <c r="P210" s="721"/>
      <c r="Q210" s="4026" t="str">
        <f>"= "&amp;FIXED(($AK$208*O$207*29.5735)+(O$207*29.5735*H172/(1000*$F$177)),1)&amp;"g carbohyradates"</f>
        <v>= 2.8g carbohyradates</v>
      </c>
      <c r="R210" s="4026"/>
      <c r="S210" s="4026"/>
      <c r="T210" s="4026"/>
      <c r="U210" s="2558"/>
      <c r="V210" s="2558"/>
      <c r="W210" s="1615"/>
      <c r="X210" s="1251"/>
      <c r="Y210" s="1251"/>
      <c r="Z210" s="1251"/>
      <c r="AA210" s="1251"/>
      <c r="AB210" s="1251"/>
      <c r="AC210" s="1251"/>
      <c r="AD210" s="1251"/>
      <c r="AE210" s="1251"/>
      <c r="AF210" s="1251"/>
      <c r="AG210" s="1251"/>
      <c r="AH210" s="1251"/>
      <c r="AI210" s="1251"/>
      <c r="AJ210" s="1912"/>
      <c r="AK210" s="1923"/>
      <c r="AL210" s="1912"/>
      <c r="AM210" s="1917">
        <f>AM208*I238</f>
        <v>34.501812941613984</v>
      </c>
      <c r="AN210" s="1917">
        <f>AN208*I238</f>
        <v>0.36801933804388248</v>
      </c>
      <c r="AO210" s="2709">
        <v>12</v>
      </c>
      <c r="AP210" s="2712">
        <v>1.117</v>
      </c>
      <c r="AQ210" s="1251"/>
      <c r="AR210" s="1251"/>
      <c r="AS210" s="1251"/>
      <c r="AT210" s="1251"/>
    </row>
    <row r="211" spans="1:46" ht="14.25" customHeight="1">
      <c r="A211" s="601"/>
      <c r="B211" s="721"/>
      <c r="C211" s="747"/>
      <c r="D211" s="3981" t="s">
        <v>603</v>
      </c>
      <c r="E211" s="3981"/>
      <c r="F211" s="3981"/>
      <c r="G211" s="4004" t="str">
        <f>"= "&amp;FIXED((($AK$207*D$207)+($AK$208*D$207*$I$238)),0)&amp;" calories"</f>
        <v>= 505 calories</v>
      </c>
      <c r="H211" s="4004"/>
      <c r="I211" s="4004"/>
      <c r="J211" s="4004"/>
      <c r="K211" s="748"/>
      <c r="L211" s="747"/>
      <c r="M211" s="2562"/>
      <c r="N211" s="3981" t="s">
        <v>603</v>
      </c>
      <c r="O211" s="3981"/>
      <c r="P211" s="3981"/>
      <c r="Q211" s="4166" t="str">
        <f>"= "&amp;FIXED((($AK$207*O$207*29.5735)+($AK$208*O$207*29.5735*$I$238)),0)&amp;" calories"</f>
        <v>= 159 calories</v>
      </c>
      <c r="R211" s="4166"/>
      <c r="S211" s="4166"/>
      <c r="T211" s="4166"/>
      <c r="U211" s="2557"/>
      <c r="V211" s="2557"/>
      <c r="W211" s="1615"/>
      <c r="X211" s="1251"/>
      <c r="Y211" s="1251"/>
      <c r="Z211" s="1251"/>
      <c r="AA211" s="1251"/>
      <c r="AB211" s="1251"/>
      <c r="AC211" s="1251"/>
      <c r="AD211" s="1251"/>
      <c r="AE211" s="1251"/>
      <c r="AF211" s="1251"/>
      <c r="AG211" s="1251"/>
      <c r="AH211" s="1251"/>
      <c r="AI211" s="1251"/>
      <c r="AJ211" s="1912"/>
      <c r="AK211" s="1923"/>
      <c r="AL211" s="1912"/>
      <c r="AM211" s="1917">
        <f>(F202-F203)/(7.75-(3*(F202-1000)/800))</f>
        <v>11.241030052420959</v>
      </c>
      <c r="AN211" s="1916"/>
      <c r="AO211" s="2709">
        <v>13</v>
      </c>
      <c r="AP211" s="2712">
        <v>1.083</v>
      </c>
      <c r="AQ211" s="1251"/>
      <c r="AR211" s="1251"/>
      <c r="AS211" s="1251"/>
      <c r="AT211" s="1251"/>
    </row>
    <row r="212" spans="1:46" ht="14.25" customHeight="1">
      <c r="A212" s="601"/>
      <c r="B212" s="721"/>
      <c r="C212" s="747"/>
      <c r="D212" s="3981" t="s">
        <v>608</v>
      </c>
      <c r="E212" s="3981"/>
      <c r="F212" s="3981"/>
      <c r="G212" s="3969" t="str">
        <f>"= "&amp;FIXED($D$207*$F$204/1000, 2)&amp;" units of alcohol (UK)."</f>
        <v>= 8.43 units of alcohol (UK).</v>
      </c>
      <c r="H212" s="3969"/>
      <c r="I212" s="3969"/>
      <c r="J212" s="3969"/>
      <c r="K212" s="749"/>
      <c r="L212" s="747"/>
      <c r="M212" s="2562"/>
      <c r="N212" s="3981" t="s">
        <v>608</v>
      </c>
      <c r="O212" s="3981"/>
      <c r="P212" s="3981"/>
      <c r="Q212" s="4167" t="str">
        <f>"= "&amp;FIXED($O$207*29.5735*$F$204/1000, 2)&amp;" units of alcohol (UK)."</f>
        <v>= 2.66 units of alcohol (UK).</v>
      </c>
      <c r="R212" s="4167"/>
      <c r="S212" s="4167"/>
      <c r="T212" s="4167"/>
      <c r="U212" s="1227"/>
      <c r="V212" s="1227"/>
      <c r="W212" s="1615"/>
      <c r="X212" s="1251"/>
      <c r="Y212" s="1251"/>
      <c r="Z212" s="1251"/>
      <c r="AA212" s="1251"/>
      <c r="AB212" s="1251"/>
      <c r="AC212" s="1251"/>
      <c r="AD212" s="1251"/>
      <c r="AE212" s="1251"/>
      <c r="AF212" s="1251"/>
      <c r="AG212" s="1251"/>
      <c r="AH212" s="1251"/>
      <c r="AI212" s="1251"/>
      <c r="AJ212" s="2378"/>
      <c r="AK212" s="2378"/>
      <c r="AL212" s="1909"/>
      <c r="AM212" s="1251"/>
      <c r="AN212" s="1251"/>
      <c r="AO212" s="2709">
        <f>(AO211+AO213)/2</f>
        <v>13.5</v>
      </c>
      <c r="AP212" s="2709">
        <f>(AP211+AP213)/2</f>
        <v>1.0665</v>
      </c>
      <c r="AQ212" s="1251"/>
      <c r="AR212" s="1912"/>
      <c r="AS212" s="1916"/>
      <c r="AT212" s="1916"/>
    </row>
    <row r="213" spans="1:46" ht="13.5" customHeight="1">
      <c r="A213" s="601"/>
      <c r="B213" s="721"/>
      <c r="C213" s="721"/>
      <c r="D213" s="2562"/>
      <c r="E213" s="2562"/>
      <c r="F213" s="2562"/>
      <c r="G213" s="2533"/>
      <c r="H213" s="2562"/>
      <c r="I213" s="2562"/>
      <c r="J213" s="2562"/>
      <c r="K213" s="2562"/>
      <c r="L213" s="2562"/>
      <c r="M213" s="747"/>
      <c r="N213" s="747"/>
      <c r="O213" s="750"/>
      <c r="P213" s="751"/>
      <c r="Q213" s="747"/>
      <c r="R213" s="2562"/>
      <c r="S213" s="747"/>
      <c r="T213" s="747"/>
      <c r="U213" s="750"/>
      <c r="V213" s="751"/>
      <c r="W213" s="409"/>
      <c r="X213" s="1251"/>
      <c r="Y213" s="1251"/>
      <c r="Z213" s="1251"/>
      <c r="AA213" s="1251"/>
      <c r="AB213" s="1251"/>
      <c r="AC213" s="1251"/>
      <c r="AD213" s="1251"/>
      <c r="AE213" s="1251"/>
      <c r="AF213" s="1251"/>
      <c r="AG213" s="1251"/>
      <c r="AH213" s="1251"/>
      <c r="AI213" s="1251"/>
      <c r="AJ213" s="2378"/>
      <c r="AK213" s="2378"/>
      <c r="AL213" s="1909"/>
      <c r="AM213" s="1251"/>
      <c r="AN213" s="1251"/>
      <c r="AO213" s="2709">
        <v>14</v>
      </c>
      <c r="AP213" s="2712">
        <v>1.05</v>
      </c>
      <c r="AQ213" s="1251"/>
      <c r="AR213" s="1251"/>
      <c r="AS213" s="1251"/>
      <c r="AT213" s="110"/>
    </row>
    <row r="214" spans="1:46" ht="14.25" customHeight="1">
      <c r="A214" s="108"/>
      <c r="B214" s="108"/>
      <c r="C214" s="126"/>
      <c r="D214" s="528"/>
      <c r="E214" s="528"/>
      <c r="F214" s="528"/>
      <c r="G214" s="130"/>
      <c r="H214" s="528"/>
      <c r="I214" s="528"/>
      <c r="J214" s="528"/>
      <c r="K214" s="528"/>
      <c r="L214" s="528"/>
      <c r="M214" s="528"/>
      <c r="N214" s="528"/>
      <c r="O214" s="528"/>
      <c r="P214" s="140"/>
      <c r="Q214" s="126"/>
      <c r="R214" s="528"/>
      <c r="S214" s="528"/>
      <c r="T214" s="528"/>
      <c r="U214" s="528"/>
      <c r="V214" s="140"/>
      <c r="W214" s="529"/>
      <c r="X214" s="1251"/>
      <c r="Y214" s="1251"/>
      <c r="Z214" s="1251"/>
      <c r="AA214" s="1251"/>
      <c r="AB214" s="1251"/>
      <c r="AC214" s="1251"/>
      <c r="AD214" s="1251"/>
      <c r="AE214" s="1251"/>
      <c r="AF214" s="1251"/>
      <c r="AG214" s="1251"/>
      <c r="AH214" s="1251"/>
      <c r="AI214" s="1251"/>
      <c r="AJ214" s="2378"/>
      <c r="AK214" s="2378"/>
      <c r="AL214" s="2378"/>
      <c r="AM214" s="2378"/>
      <c r="AN214" s="2378"/>
      <c r="AO214" s="2709">
        <f>(AO213+AO215)/2</f>
        <v>14.5</v>
      </c>
      <c r="AP214" s="2709">
        <f>(AP213+AP215)/2</f>
        <v>1.034</v>
      </c>
      <c r="AQ214" s="1251"/>
      <c r="AR214" s="1251"/>
      <c r="AS214" s="1251"/>
      <c r="AT214" s="1251"/>
    </row>
    <row r="215" spans="1:46" ht="14.25" customHeight="1">
      <c r="A215" s="108"/>
      <c r="B215" s="4177" t="s">
        <v>626</v>
      </c>
      <c r="C215" s="4177"/>
      <c r="D215" s="4177"/>
      <c r="E215" s="1002"/>
      <c r="F215" s="1002"/>
      <c r="G215" s="1002"/>
      <c r="H215" s="1002"/>
      <c r="I215" s="3990" t="s">
        <v>627</v>
      </c>
      <c r="J215" s="3990"/>
      <c r="K215" s="3990"/>
      <c r="L215" s="1512"/>
      <c r="M215" s="3983" t="s">
        <v>1603</v>
      </c>
      <c r="N215" s="3983"/>
      <c r="O215" s="3983"/>
      <c r="P215" s="2561"/>
      <c r="Q215" s="753"/>
      <c r="R215" s="1529" t="s">
        <v>132</v>
      </c>
      <c r="S215" s="1488"/>
      <c r="T215" s="1488"/>
      <c r="U215" s="1488"/>
      <c r="V215" s="1545"/>
      <c r="W215" s="128"/>
      <c r="X215" s="1251"/>
      <c r="Y215" s="1251"/>
      <c r="Z215" s="1251"/>
      <c r="AA215" s="1251"/>
      <c r="AB215" s="1251"/>
      <c r="AC215" s="1251"/>
      <c r="AD215" s="1251"/>
      <c r="AE215" s="1251"/>
      <c r="AF215" s="1251"/>
      <c r="AG215" s="1251"/>
      <c r="AH215" s="1251"/>
      <c r="AI215" s="1251"/>
      <c r="AJ215" s="2378"/>
      <c r="AK215" s="2378"/>
      <c r="AL215" s="2378"/>
      <c r="AM215" s="2378"/>
      <c r="AN215" s="2378"/>
      <c r="AO215" s="2709">
        <v>15</v>
      </c>
      <c r="AP215" s="2712">
        <v>1.018</v>
      </c>
      <c r="AQ215" s="1251"/>
      <c r="AR215" s="1251"/>
      <c r="AS215" s="1251"/>
      <c r="AT215" s="1251"/>
    </row>
    <row r="216" spans="1:46" ht="14.25" customHeight="1">
      <c r="A216" s="108"/>
      <c r="B216" s="601"/>
      <c r="C216" s="3985" t="s">
        <v>628</v>
      </c>
      <c r="D216" s="3985"/>
      <c r="E216" s="3985"/>
      <c r="F216" s="3985"/>
      <c r="G216" s="3985"/>
      <c r="H216" s="2551"/>
      <c r="I216" s="754" t="s">
        <v>629</v>
      </c>
      <c r="J216" s="1924" t="s">
        <v>630</v>
      </c>
      <c r="K216" s="1924" t="s">
        <v>631</v>
      </c>
      <c r="L216" s="1924" t="s">
        <v>632</v>
      </c>
      <c r="M216" s="2548"/>
      <c r="N216" s="2575" t="s">
        <v>629</v>
      </c>
      <c r="O216" s="1621" t="s">
        <v>630</v>
      </c>
      <c r="P216" s="2576" t="s">
        <v>631</v>
      </c>
      <c r="Q216" s="753"/>
      <c r="R216" s="258" t="s">
        <v>295</v>
      </c>
      <c r="S216" s="378" t="s">
        <v>23</v>
      </c>
      <c r="T216" s="3232" t="s">
        <v>983</v>
      </c>
      <c r="U216" s="3233"/>
      <c r="V216" s="1516" t="s">
        <v>141</v>
      </c>
      <c r="W216" s="529"/>
      <c r="X216" s="1251"/>
      <c r="Y216" s="1251"/>
      <c r="Z216" s="1251"/>
      <c r="AA216" s="1251"/>
      <c r="AB216" s="1251"/>
      <c r="AC216" s="1251"/>
      <c r="AD216" s="1251"/>
      <c r="AE216" s="1251"/>
      <c r="AF216" s="1251"/>
      <c r="AG216" s="1251"/>
      <c r="AH216" s="1251"/>
      <c r="AI216" s="1251"/>
      <c r="AJ216" s="2378"/>
      <c r="AK216" s="2378"/>
      <c r="AL216" s="2378"/>
      <c r="AM216" s="2378"/>
      <c r="AN216" s="2378"/>
      <c r="AO216" s="2709">
        <f>(AO215+AO217)/2</f>
        <v>15.5</v>
      </c>
      <c r="AP216" s="2709">
        <f>(AP215+AP217)/2</f>
        <v>1.0015000000000001</v>
      </c>
      <c r="AQ216" s="1251"/>
      <c r="AR216" s="1251"/>
      <c r="AS216" s="1251"/>
      <c r="AT216" s="1251"/>
    </row>
    <row r="217" spans="1:46" ht="14.25" customHeight="1">
      <c r="A217" s="108"/>
      <c r="B217" s="601"/>
      <c r="C217" s="3985" t="s">
        <v>633</v>
      </c>
      <c r="D217" s="3985"/>
      <c r="E217" s="3985"/>
      <c r="F217" s="3985"/>
      <c r="G217" s="3985"/>
      <c r="H217" s="2551"/>
      <c r="I217" s="755" t="s">
        <v>141</v>
      </c>
      <c r="J217" s="755" t="s">
        <v>149</v>
      </c>
      <c r="K217" s="755" t="s">
        <v>149</v>
      </c>
      <c r="L217" s="756"/>
      <c r="M217" s="691"/>
      <c r="N217" s="757" t="s">
        <v>141</v>
      </c>
      <c r="O217" s="755" t="s">
        <v>149</v>
      </c>
      <c r="P217" s="758" t="s">
        <v>149</v>
      </c>
      <c r="Q217" s="753"/>
      <c r="R217" s="1555">
        <v>2.2000000000000002</v>
      </c>
      <c r="S217" s="1008">
        <f>R217*16</f>
        <v>35.200000000000003</v>
      </c>
      <c r="T217" s="3232" t="str">
        <f>INT(S217/16)&amp;" lb. "&amp;FIXED(S217-16*INT(S217/16))&amp;" oz"</f>
        <v>2 lb. 3.20 oz</v>
      </c>
      <c r="U217" s="3233"/>
      <c r="V217" s="1516">
        <f>S217*28.3495</f>
        <v>997.90240000000006</v>
      </c>
      <c r="W217" s="108"/>
      <c r="X217" s="1251"/>
      <c r="Y217" s="1251"/>
      <c r="Z217" s="1251"/>
      <c r="AA217" s="1251"/>
      <c r="AB217" s="1251"/>
      <c r="AC217" s="1251"/>
      <c r="AD217" s="1251"/>
      <c r="AE217" s="1251"/>
      <c r="AF217" s="1251"/>
      <c r="AG217" s="1251"/>
      <c r="AH217" s="1251"/>
      <c r="AI217" s="1251"/>
      <c r="AJ217" s="2378"/>
      <c r="AK217" s="2378"/>
      <c r="AL217" s="2378"/>
      <c r="AM217" s="2378"/>
      <c r="AN217" s="2378"/>
      <c r="AO217" s="2709">
        <v>16</v>
      </c>
      <c r="AP217" s="2712">
        <v>0.98499999999999999</v>
      </c>
      <c r="AQ217" s="1251"/>
      <c r="AR217" s="1251"/>
      <c r="AS217" s="1251"/>
      <c r="AT217" s="1251"/>
    </row>
    <row r="218" spans="1:46" ht="14.25" customHeight="1">
      <c r="A218" s="108"/>
      <c r="B218" s="601"/>
      <c r="C218" s="3985" t="s">
        <v>634</v>
      </c>
      <c r="D218" s="3985"/>
      <c r="E218" s="3985"/>
      <c r="F218" s="3985"/>
      <c r="G218" s="3985"/>
      <c r="H218" s="2552"/>
      <c r="I218" s="2213">
        <v>624</v>
      </c>
      <c r="J218" s="2214">
        <v>220</v>
      </c>
      <c r="K218" s="759">
        <f>J218+(0.58*I218)</f>
        <v>581.91999999999996</v>
      </c>
      <c r="L218" s="760">
        <f>1000+375*I218/K218</f>
        <v>1402.1171295023371</v>
      </c>
      <c r="M218" s="691"/>
      <c r="N218" s="2213">
        <v>590</v>
      </c>
      <c r="O218" s="759">
        <f>0.671*N218</f>
        <v>395.89000000000004</v>
      </c>
      <c r="P218" s="759">
        <f>O218+(0.58*N218)</f>
        <v>738.09</v>
      </c>
      <c r="Q218" s="753"/>
      <c r="R218" s="1254"/>
      <c r="S218" s="1254"/>
      <c r="T218" s="1254"/>
      <c r="U218" s="1254"/>
      <c r="V218" s="1254"/>
      <c r="W218" s="529"/>
      <c r="X218" s="1251"/>
      <c r="Y218" s="1251"/>
      <c r="Z218" s="1251"/>
      <c r="AA218" s="1251"/>
      <c r="AB218" s="1251"/>
      <c r="AC218" s="1251"/>
      <c r="AD218" s="1251"/>
      <c r="AE218" s="1251"/>
      <c r="AF218" s="1251"/>
      <c r="AG218" s="1251"/>
      <c r="AH218" s="1251"/>
      <c r="AI218" s="1251"/>
      <c r="AJ218" s="2378"/>
      <c r="AK218" s="2378"/>
      <c r="AL218" s="2378"/>
      <c r="AM218" s="2378"/>
      <c r="AN218" s="2378"/>
      <c r="AO218" s="2709">
        <f>(AO217+AO219)/2</f>
        <v>16.5</v>
      </c>
      <c r="AP218" s="2709">
        <f>(AP217+AP219)/2</f>
        <v>0.97049999999999992</v>
      </c>
      <c r="AQ218" s="1251"/>
      <c r="AR218" s="1251"/>
      <c r="AS218" s="1251"/>
      <c r="AT218" s="1251"/>
    </row>
    <row r="219" spans="1:46" ht="14.25" customHeight="1">
      <c r="A219" s="108"/>
      <c r="B219" s="601"/>
      <c r="C219" s="2561"/>
      <c r="D219" s="2572"/>
      <c r="E219" s="2572"/>
      <c r="F219" s="2572"/>
      <c r="G219" s="2572"/>
      <c r="H219" s="1002"/>
      <c r="I219" s="1002"/>
      <c r="J219" s="1002"/>
      <c r="K219" s="1002"/>
      <c r="L219" s="1002"/>
      <c r="M219" s="1002"/>
      <c r="N219" s="1002"/>
      <c r="O219" s="1002"/>
      <c r="P219" s="1002"/>
      <c r="Q219" s="753"/>
      <c r="R219" s="377" t="s">
        <v>981</v>
      </c>
      <c r="S219" s="378" t="s">
        <v>23</v>
      </c>
      <c r="T219" s="3222" t="s">
        <v>1532</v>
      </c>
      <c r="U219" s="3223"/>
      <c r="V219" s="1254"/>
      <c r="W219" s="529"/>
      <c r="X219" s="1251"/>
      <c r="Y219" s="1251"/>
      <c r="Z219" s="1251"/>
      <c r="AA219" s="1251"/>
      <c r="AB219" s="1251"/>
      <c r="AC219" s="1251"/>
      <c r="AD219" s="1251"/>
      <c r="AE219" s="1251"/>
      <c r="AF219" s="1251"/>
      <c r="AG219" s="1251"/>
      <c r="AH219" s="1251"/>
      <c r="AI219" s="1251"/>
      <c r="AJ219" s="2378"/>
      <c r="AK219" s="2378"/>
      <c r="AL219" s="2378"/>
      <c r="AM219" s="2378"/>
      <c r="AN219" s="2378"/>
      <c r="AO219" s="2709">
        <v>17</v>
      </c>
      <c r="AP219" s="2712">
        <v>0.95599999999999996</v>
      </c>
      <c r="AQ219" s="1251"/>
      <c r="AR219" s="1251"/>
      <c r="AS219" s="1251"/>
      <c r="AT219" s="1251"/>
    </row>
    <row r="220" spans="1:46" ht="14.25" customHeight="1">
      <c r="A220" s="108"/>
      <c r="B220" s="601"/>
      <c r="C220" s="761"/>
      <c r="D220" s="761"/>
      <c r="E220" s="761"/>
      <c r="F220" s="761"/>
      <c r="G220" s="761"/>
      <c r="H220" s="1002"/>
      <c r="I220" s="1002"/>
      <c r="J220" s="1002"/>
      <c r="K220" s="1002"/>
      <c r="L220" s="1002"/>
      <c r="M220" s="1002"/>
      <c r="N220" s="1002"/>
      <c r="O220" s="1002"/>
      <c r="P220" s="1002"/>
      <c r="Q220" s="1002"/>
      <c r="R220" s="1556">
        <v>1</v>
      </c>
      <c r="S220" s="1928">
        <v>4</v>
      </c>
      <c r="T220" s="258">
        <f>1000*(R220+S220/16)*0.4536</f>
        <v>567</v>
      </c>
      <c r="U220" s="266">
        <f>T220/1000</f>
        <v>0.56699999999999995</v>
      </c>
      <c r="V220" s="1254"/>
      <c r="W220" s="529"/>
      <c r="X220" s="1251"/>
      <c r="Y220" s="1251"/>
      <c r="Z220" s="1251"/>
      <c r="AA220" s="1251"/>
      <c r="AB220" s="1251"/>
      <c r="AC220" s="1251"/>
      <c r="AD220" s="1251"/>
      <c r="AE220" s="1251"/>
      <c r="AF220" s="1251"/>
      <c r="AG220" s="1251"/>
      <c r="AH220" s="1251"/>
      <c r="AI220" s="1251"/>
      <c r="AJ220" s="2378"/>
      <c r="AK220" s="2378"/>
      <c r="AL220" s="2378"/>
      <c r="AM220" s="2378"/>
      <c r="AN220" s="2378"/>
      <c r="AO220" s="2709">
        <f>(AO219+AO221)/2</f>
        <v>17.5</v>
      </c>
      <c r="AP220" s="2709">
        <f>(AP219+AP221)/2</f>
        <v>0.94199999999999995</v>
      </c>
      <c r="AQ220" s="1251"/>
      <c r="AR220" s="1251"/>
      <c r="AS220" s="1251"/>
      <c r="AT220" s="1251"/>
    </row>
    <row r="221" spans="1:46" ht="14.25" customHeight="1">
      <c r="A221" s="108"/>
      <c r="B221" s="4178" t="s">
        <v>635</v>
      </c>
      <c r="C221" s="4025"/>
      <c r="D221" s="762"/>
      <c r="E221" s="762"/>
      <c r="F221" s="762"/>
      <c r="G221" s="762"/>
      <c r="H221" s="1002"/>
      <c r="I221" s="1002"/>
      <c r="J221" s="1002"/>
      <c r="K221" s="1002"/>
      <c r="L221" s="1002"/>
      <c r="M221" s="1002"/>
      <c r="N221" s="1002"/>
      <c r="O221" s="1002"/>
      <c r="P221" s="1002"/>
      <c r="Q221" s="1002"/>
      <c r="R221" s="29"/>
      <c r="S221" s="29"/>
      <c r="T221" s="29"/>
      <c r="U221" s="29"/>
      <c r="V221" s="29"/>
      <c r="W221" s="529"/>
      <c r="X221" s="1251"/>
      <c r="Y221" s="1251"/>
      <c r="Z221" s="1251"/>
      <c r="AA221" s="1251"/>
      <c r="AB221" s="1251"/>
      <c r="AC221" s="1251"/>
      <c r="AD221" s="1251"/>
      <c r="AE221" s="1251"/>
      <c r="AF221" s="1251"/>
      <c r="AG221" s="1251"/>
      <c r="AH221" s="1251"/>
      <c r="AI221" s="1251"/>
      <c r="AJ221" s="2378"/>
      <c r="AK221" s="2378"/>
      <c r="AL221" s="2378"/>
      <c r="AM221" s="2378"/>
      <c r="AN221" s="2378"/>
      <c r="AO221" s="2709">
        <v>18</v>
      </c>
      <c r="AP221" s="2712">
        <v>0.92800000000000005</v>
      </c>
      <c r="AQ221" s="1251"/>
      <c r="AR221" s="1251"/>
      <c r="AS221" s="1251"/>
      <c r="AT221" s="1251"/>
    </row>
    <row r="222" spans="1:46" ht="14.25" customHeight="1">
      <c r="A222" s="108"/>
      <c r="B222" s="601"/>
      <c r="C222" s="4011" t="s">
        <v>741</v>
      </c>
      <c r="D222" s="4011"/>
      <c r="E222" s="4011"/>
      <c r="F222" s="4011"/>
      <c r="G222" s="4011"/>
      <c r="H222" s="1002"/>
      <c r="I222" s="1002"/>
      <c r="J222" s="4160" t="s">
        <v>613</v>
      </c>
      <c r="K222" s="4160"/>
      <c r="L222" s="4161"/>
      <c r="M222" s="1817" t="s">
        <v>654</v>
      </c>
      <c r="N222" s="2609" t="s">
        <v>926</v>
      </c>
      <c r="O222" s="1817" t="s">
        <v>607</v>
      </c>
      <c r="P222" s="1002"/>
      <c r="Q222" s="1002"/>
      <c r="R222" s="258" t="s">
        <v>133</v>
      </c>
      <c r="S222" s="2498" t="s">
        <v>23</v>
      </c>
      <c r="T222" s="2498" t="s">
        <v>981</v>
      </c>
      <c r="U222" s="3232" t="s">
        <v>1534</v>
      </c>
      <c r="V222" s="3233"/>
      <c r="W222" s="529"/>
      <c r="X222" s="1251"/>
      <c r="Y222" s="1251"/>
      <c r="Z222" s="1251"/>
      <c r="AA222" s="1251"/>
      <c r="AB222" s="110"/>
      <c r="AC222" s="110"/>
      <c r="AD222" s="110"/>
      <c r="AE222" s="110"/>
      <c r="AF222" s="110"/>
      <c r="AG222" s="110"/>
      <c r="AH222" s="110"/>
      <c r="AI222" s="110"/>
      <c r="AJ222" s="2378"/>
      <c r="AK222" s="2378"/>
      <c r="AL222" s="2378"/>
      <c r="AM222" s="2378"/>
      <c r="AN222" s="2378"/>
      <c r="AO222" s="2709">
        <f>(AO221+AO223)/2</f>
        <v>18.5</v>
      </c>
      <c r="AP222" s="2709">
        <f>(AP221+AP223)/2</f>
        <v>0.91500000000000004</v>
      </c>
      <c r="AQ222" s="1251"/>
      <c r="AR222" s="1251"/>
      <c r="AS222" s="1251"/>
      <c r="AT222" s="1251"/>
    </row>
    <row r="223" spans="1:46" ht="14.25" customHeight="1">
      <c r="A223" s="108"/>
      <c r="B223" s="601"/>
      <c r="C223" s="4011"/>
      <c r="D223" s="4011"/>
      <c r="E223" s="4011"/>
      <c r="F223" s="4011"/>
      <c r="G223" s="4011"/>
      <c r="H223" s="1002"/>
      <c r="I223" s="1002"/>
      <c r="J223" s="2562"/>
      <c r="K223" s="2562"/>
      <c r="L223" s="2562"/>
      <c r="M223" s="603">
        <f>N223*7/4</f>
        <v>122.5</v>
      </c>
      <c r="N223" s="604">
        <v>70</v>
      </c>
      <c r="O223" s="603">
        <f>N223*4/7</f>
        <v>40</v>
      </c>
      <c r="P223" s="1002"/>
      <c r="Q223" s="1002"/>
      <c r="R223" s="1555">
        <v>1000</v>
      </c>
      <c r="S223" s="1517">
        <f>16*T223</f>
        <v>35.273368606701936</v>
      </c>
      <c r="T223" s="1517">
        <f>R223/(1000*0.4536)</f>
        <v>2.204585537918871</v>
      </c>
      <c r="U223" s="3232" t="str">
        <f>INT(S223/16)&amp;" lb. "&amp;FIXED(S223-16*INT(S223/16))&amp;" oz"</f>
        <v>2 lb. 3.27 oz</v>
      </c>
      <c r="V223" s="3233"/>
      <c r="W223" s="529"/>
      <c r="X223" s="1251"/>
      <c r="Y223" s="1251"/>
      <c r="Z223" s="1251"/>
      <c r="AA223" s="1251"/>
      <c r="AB223" s="110"/>
      <c r="AC223" s="110"/>
      <c r="AD223" s="110"/>
      <c r="AE223" s="110"/>
      <c r="AF223" s="110"/>
      <c r="AG223" s="110"/>
      <c r="AH223" s="110"/>
      <c r="AI223" s="110"/>
      <c r="AJ223" s="2378"/>
      <c r="AK223" s="2378"/>
      <c r="AL223" s="2378"/>
      <c r="AM223" s="2378"/>
      <c r="AN223" s="2378"/>
      <c r="AO223" s="2709">
        <v>19</v>
      </c>
      <c r="AP223" s="2712">
        <v>0.90200000000000002</v>
      </c>
      <c r="AQ223" s="1251"/>
      <c r="AR223" s="1251"/>
      <c r="AS223" s="1251"/>
      <c r="AT223" s="1251"/>
    </row>
    <row r="224" spans="1:46" ht="14.25" customHeight="1">
      <c r="A224" s="108"/>
      <c r="B224" s="601"/>
      <c r="C224" s="601"/>
      <c r="D224" s="601"/>
      <c r="E224" s="601"/>
      <c r="F224" s="601"/>
      <c r="G224" s="601"/>
      <c r="H224" s="601"/>
      <c r="I224" s="1002"/>
      <c r="J224" s="2562"/>
      <c r="K224" s="2562"/>
      <c r="L224" s="2562"/>
      <c r="M224" s="730"/>
      <c r="N224" s="766"/>
      <c r="O224" s="701"/>
      <c r="P224" s="1002"/>
      <c r="Q224" s="1002"/>
      <c r="R224" s="1511"/>
      <c r="S224" s="1511"/>
      <c r="T224" s="1511"/>
      <c r="U224" s="1511"/>
      <c r="V224" s="1511"/>
      <c r="W224" s="529"/>
      <c r="X224" s="1251"/>
      <c r="Y224" s="1251"/>
      <c r="Z224" s="1251"/>
      <c r="AA224" s="1251"/>
      <c r="AB224" s="110"/>
      <c r="AC224" s="110"/>
      <c r="AD224" s="110"/>
      <c r="AE224" s="110"/>
      <c r="AF224" s="110"/>
      <c r="AG224" s="110"/>
      <c r="AH224" s="110"/>
      <c r="AI224" s="110"/>
      <c r="AJ224" s="2378"/>
      <c r="AK224" s="2378"/>
      <c r="AL224" s="2378"/>
      <c r="AM224" s="2378"/>
      <c r="AN224" s="2378"/>
      <c r="AO224" s="2709">
        <f>(AO223+AO225)/2</f>
        <v>19.5</v>
      </c>
      <c r="AP224" s="2709">
        <f>(AP223+AP225)/2</f>
        <v>0.88949999999999996</v>
      </c>
      <c r="AQ224" s="1251"/>
      <c r="AR224" s="1251"/>
      <c r="AS224" s="1251"/>
      <c r="AT224" s="1251"/>
    </row>
    <row r="225" spans="1:46" ht="14.25" customHeight="1">
      <c r="A225" s="108"/>
      <c r="B225" s="601"/>
      <c r="C225" s="2039" t="s">
        <v>637</v>
      </c>
      <c r="D225" s="2040">
        <v>40</v>
      </c>
      <c r="E225" s="3971" t="s">
        <v>1062</v>
      </c>
      <c r="F225" s="3972"/>
      <c r="G225" s="3973"/>
      <c r="H225" s="763"/>
      <c r="I225" s="1002"/>
      <c r="J225" s="2562"/>
      <c r="K225" s="2562"/>
      <c r="L225" s="2562"/>
      <c r="M225" s="603" t="s">
        <v>654</v>
      </c>
      <c r="N225" s="2610" t="s">
        <v>927</v>
      </c>
      <c r="O225" s="603" t="s">
        <v>607</v>
      </c>
      <c r="P225" s="1002"/>
      <c r="Q225" s="1002"/>
      <c r="R225" s="1002"/>
      <c r="S225" s="1002"/>
      <c r="T225" s="1002"/>
      <c r="U225" s="1002"/>
      <c r="V225" s="2563"/>
      <c r="W225" s="529"/>
      <c r="X225" s="1251"/>
      <c r="Y225" s="1251"/>
      <c r="Z225" s="1251"/>
      <c r="AA225" s="1251"/>
      <c r="AB225" s="110"/>
      <c r="AC225" s="110"/>
      <c r="AD225" s="110"/>
      <c r="AE225" s="110"/>
      <c r="AF225" s="110"/>
      <c r="AG225" s="110"/>
      <c r="AH225" s="110"/>
      <c r="AI225" s="110"/>
      <c r="AJ225" s="2378"/>
      <c r="AK225" s="2378"/>
      <c r="AL225" s="2378"/>
      <c r="AM225" s="2378"/>
      <c r="AN225" s="2378"/>
      <c r="AO225" s="2709">
        <v>20</v>
      </c>
      <c r="AP225" s="2712">
        <v>0.877</v>
      </c>
      <c r="AQ225" s="1251"/>
      <c r="AR225" s="1251"/>
      <c r="AS225" s="1251"/>
      <c r="AT225" s="1251"/>
    </row>
    <row r="226" spans="1:46" ht="14.25" customHeight="1">
      <c r="A226" s="108"/>
      <c r="B226" s="601"/>
      <c r="C226" s="2041" t="s">
        <v>641</v>
      </c>
      <c r="D226" s="2105">
        <f>F185</f>
        <v>11.241030052420959</v>
      </c>
      <c r="E226" s="3974"/>
      <c r="F226" s="3975"/>
      <c r="G226" s="3976"/>
      <c r="H226" s="765"/>
      <c r="I226" s="1002"/>
      <c r="J226" s="2562"/>
      <c r="K226" s="2562"/>
      <c r="L226" s="2562"/>
      <c r="M226" s="2608">
        <f>N226*2</f>
        <v>140</v>
      </c>
      <c r="N226" s="604">
        <v>70</v>
      </c>
      <c r="O226" s="603">
        <f>N226*0.5</f>
        <v>35</v>
      </c>
      <c r="P226" s="1002"/>
      <c r="Q226" s="1002"/>
      <c r="R226" s="1553" t="s">
        <v>1533</v>
      </c>
      <c r="S226" s="35"/>
      <c r="T226" s="35"/>
      <c r="U226" s="35"/>
      <c r="V226" s="35"/>
      <c r="W226" s="529"/>
      <c r="X226" s="1251"/>
      <c r="Y226" s="1251"/>
      <c r="Z226" s="1251"/>
      <c r="AA226" s="1251"/>
      <c r="AB226" s="110"/>
      <c r="AC226" s="110"/>
      <c r="AD226" s="110"/>
      <c r="AE226" s="110"/>
      <c r="AF226" s="110"/>
      <c r="AG226" s="110"/>
      <c r="AH226" s="110"/>
      <c r="AI226" s="110"/>
      <c r="AJ226" s="2378"/>
      <c r="AK226" s="2378"/>
      <c r="AL226" s="2378"/>
      <c r="AM226" s="2378"/>
      <c r="AN226" s="2378"/>
      <c r="AO226" s="2709">
        <f>(AO225+AO227)/2</f>
        <v>20.5</v>
      </c>
      <c r="AP226" s="2709">
        <f>(AP225+AP227)/2</f>
        <v>0.86450000000000005</v>
      </c>
      <c r="AQ226" s="1251"/>
      <c r="AR226" s="1251"/>
      <c r="AS226" s="1251"/>
      <c r="AT226" s="1251"/>
    </row>
    <row r="227" spans="1:46" ht="14.25" customHeight="1">
      <c r="A227" s="108"/>
      <c r="B227" s="601"/>
      <c r="C227" s="2041" t="s">
        <v>643</v>
      </c>
      <c r="D227" s="764">
        <v>25</v>
      </c>
      <c r="E227" s="3977"/>
      <c r="F227" s="3978"/>
      <c r="G227" s="3979"/>
      <c r="H227" s="765"/>
      <c r="I227" s="1002"/>
      <c r="J227" s="2562"/>
      <c r="K227" s="2562"/>
      <c r="L227" s="2562"/>
      <c r="M227" s="771"/>
      <c r="N227" s="766"/>
      <c r="O227" s="701"/>
      <c r="P227" s="1002"/>
      <c r="Q227" s="1002"/>
      <c r="R227" s="2499" t="s">
        <v>181</v>
      </c>
      <c r="S227" s="2497" t="s">
        <v>1668</v>
      </c>
      <c r="T227" s="2497" t="s">
        <v>1667</v>
      </c>
      <c r="U227" s="2497" t="s">
        <v>1669</v>
      </c>
      <c r="V227" s="2499" t="s">
        <v>1670</v>
      </c>
      <c r="W227" s="529"/>
      <c r="X227" s="1251"/>
      <c r="Y227" s="1251"/>
      <c r="Z227" s="1251"/>
      <c r="AA227" s="1251"/>
      <c r="AB227" s="110"/>
      <c r="AC227" s="110"/>
      <c r="AD227" s="110"/>
      <c r="AE227" s="110"/>
      <c r="AF227" s="110"/>
      <c r="AG227" s="110"/>
      <c r="AH227" s="110"/>
      <c r="AI227" s="110"/>
      <c r="AJ227" s="2378"/>
      <c r="AK227" s="2378"/>
      <c r="AL227" s="2378"/>
      <c r="AM227" s="2378"/>
      <c r="AN227" s="2378"/>
      <c r="AO227" s="2709">
        <v>21</v>
      </c>
      <c r="AP227" s="2712">
        <v>0.85199999999999998</v>
      </c>
      <c r="AQ227" s="1251"/>
      <c r="AR227" s="1251"/>
      <c r="AS227" s="1251"/>
      <c r="AT227" s="1251"/>
    </row>
    <row r="228" spans="1:46" ht="14.25" customHeight="1">
      <c r="A228" s="108"/>
      <c r="B228" s="601"/>
      <c r="C228" s="2042" t="s">
        <v>645</v>
      </c>
      <c r="D228" s="2043">
        <v>4.5</v>
      </c>
      <c r="E228" s="4162" t="str">
        <f>"litres or "&amp;FIXED(200*D228/SUM(D228:D230),0)&amp;"% wine"</f>
        <v>litres or 52% wine</v>
      </c>
      <c r="F228" s="4163"/>
      <c r="G228" s="4164"/>
      <c r="H228" s="765"/>
      <c r="I228" s="1002"/>
      <c r="J228" s="1002"/>
      <c r="K228" s="1002"/>
      <c r="L228" s="1002"/>
      <c r="M228" s="1002"/>
      <c r="N228" s="1002"/>
      <c r="O228" s="1002"/>
      <c r="P228" s="1002"/>
      <c r="Q228" s="1002"/>
      <c r="R228" s="1557">
        <v>15</v>
      </c>
      <c r="S228" s="1521">
        <f>U228*(5/6)</f>
        <v>3.3021609341152853</v>
      </c>
      <c r="T228" s="1526">
        <f>S228*8</f>
        <v>26.417287472922283</v>
      </c>
      <c r="U228" s="1521">
        <f>R228/3.7854</f>
        <v>3.962593120938342</v>
      </c>
      <c r="V228" s="2500">
        <f>U228*8</f>
        <v>31.700744967506736</v>
      </c>
      <c r="W228" s="529"/>
      <c r="X228" s="110"/>
      <c r="Y228" s="1251"/>
      <c r="Z228" s="1251"/>
      <c r="AA228" s="1251"/>
      <c r="AB228" s="110"/>
      <c r="AC228" s="110"/>
      <c r="AD228" s="110"/>
      <c r="AE228" s="110"/>
      <c r="AF228" s="110"/>
      <c r="AG228" s="110"/>
      <c r="AH228" s="110"/>
      <c r="AI228" s="110"/>
      <c r="AJ228" s="2378"/>
      <c r="AK228" s="2378"/>
      <c r="AL228" s="2378"/>
      <c r="AM228" s="2378"/>
      <c r="AN228" s="2378"/>
      <c r="AO228" s="2709">
        <f>(AO227+AO229)/2</f>
        <v>21.5</v>
      </c>
      <c r="AP228" s="2709">
        <f>(AP227+AP229)/2</f>
        <v>0.83949999999999991</v>
      </c>
      <c r="AQ228" s="1251"/>
      <c r="AR228" s="1251"/>
      <c r="AS228" s="1251"/>
      <c r="AT228" s="1251"/>
    </row>
    <row r="229" spans="1:46" ht="14.25" customHeight="1">
      <c r="A229" s="108"/>
      <c r="B229" s="601"/>
      <c r="C229" s="767" t="s">
        <v>646</v>
      </c>
      <c r="D229" s="1559">
        <f>((D227-D226)/(D225-D227))*D228</f>
        <v>4.1276909842737126</v>
      </c>
      <c r="E229" s="3956" t="str">
        <f>"litres or "&amp;FIXED(200*D229/SUM(D228:D230),0)&amp;"% spirit"</f>
        <v>litres or 48% spirit</v>
      </c>
      <c r="F229" s="3957"/>
      <c r="G229" s="3958"/>
      <c r="H229" s="765"/>
      <c r="I229" s="1002"/>
      <c r="J229" s="4002" t="s">
        <v>614</v>
      </c>
      <c r="K229" s="4002"/>
      <c r="L229" s="4003"/>
      <c r="M229" s="258" t="s">
        <v>152</v>
      </c>
      <c r="N229" s="258" t="s">
        <v>142</v>
      </c>
      <c r="O229" s="2534" t="s">
        <v>135</v>
      </c>
      <c r="P229" s="1002"/>
      <c r="Q229" s="1002"/>
      <c r="R229" s="2563"/>
      <c r="S229" s="2563"/>
      <c r="T229" s="2563"/>
      <c r="U229" s="504"/>
      <c r="V229" s="506"/>
      <c r="W229" s="529"/>
      <c r="X229" s="110"/>
      <c r="Y229" s="1251"/>
      <c r="Z229" s="1251"/>
      <c r="AA229" s="1251"/>
      <c r="AB229" s="110"/>
      <c r="AC229" s="110"/>
      <c r="AD229" s="110"/>
      <c r="AE229" s="110"/>
      <c r="AF229" s="110"/>
      <c r="AG229" s="110"/>
      <c r="AH229" s="110"/>
      <c r="AI229" s="110"/>
      <c r="AJ229" s="1910"/>
      <c r="AK229" s="1908"/>
      <c r="AL229" s="1909"/>
      <c r="AM229" s="1251"/>
      <c r="AN229" s="1251"/>
      <c r="AO229" s="2709">
        <v>22</v>
      </c>
      <c r="AP229" s="2712">
        <v>0.82699999999999996</v>
      </c>
      <c r="AQ229" s="1251"/>
      <c r="AR229" s="1251"/>
      <c r="AS229" s="1251"/>
      <c r="AT229" s="1251"/>
    </row>
    <row r="230" spans="1:46" ht="14.25" customHeight="1">
      <c r="A230" s="108"/>
      <c r="B230" s="769"/>
      <c r="C230" s="770" t="s">
        <v>647</v>
      </c>
      <c r="D230" s="768">
        <f>D228+D229</f>
        <v>8.6276909842737126</v>
      </c>
      <c r="E230" s="3999" t="str">
        <f>"litres or "&amp;FIXED(200*D230/SUM(D228:D230),0)&amp;"% total"</f>
        <v>litres or 100% total</v>
      </c>
      <c r="F230" s="4000"/>
      <c r="G230" s="4001"/>
      <c r="H230" s="765"/>
      <c r="I230" s="1002"/>
      <c r="J230" s="1002"/>
      <c r="K230" s="1002"/>
      <c r="L230" s="1002"/>
      <c r="M230" s="290">
        <f>N230/(AL271+0.00000001)</f>
        <v>56.669621867144528</v>
      </c>
      <c r="N230" s="773">
        <v>50</v>
      </c>
      <c r="O230" s="295">
        <f>100*AJ270/AK270</f>
        <v>44.115345926008722</v>
      </c>
      <c r="P230" s="1002"/>
      <c r="Q230" s="1002"/>
      <c r="R230" s="258" t="s">
        <v>1666</v>
      </c>
      <c r="S230" s="258" t="s">
        <v>1665</v>
      </c>
      <c r="T230" s="258" t="s">
        <v>181</v>
      </c>
      <c r="U230" s="504"/>
      <c r="V230" s="506"/>
      <c r="W230" s="529"/>
      <c r="X230" s="110"/>
      <c r="Y230" s="1251"/>
      <c r="Z230" s="1251"/>
      <c r="AA230" s="1251"/>
      <c r="AB230" s="110"/>
      <c r="AC230" s="110"/>
      <c r="AD230" s="110"/>
      <c r="AE230" s="110"/>
      <c r="AF230" s="110"/>
      <c r="AG230" s="110"/>
      <c r="AH230" s="110"/>
      <c r="AI230" s="110"/>
      <c r="AJ230" s="1910"/>
      <c r="AK230" s="1908"/>
      <c r="AL230" s="1909"/>
      <c r="AM230" s="1251"/>
      <c r="AN230" s="1251"/>
      <c r="AO230" s="2709">
        <f>(AO229+AO231)/2</f>
        <v>22.5</v>
      </c>
      <c r="AP230" s="2709">
        <f>(AP229+AP231)/2</f>
        <v>0.8145</v>
      </c>
      <c r="AQ230" s="1251"/>
      <c r="AR230" s="1251"/>
      <c r="AS230" s="1251"/>
      <c r="AT230" s="1251"/>
    </row>
    <row r="231" spans="1:46" ht="14.25" customHeight="1">
      <c r="A231" s="108"/>
      <c r="B231" s="771"/>
      <c r="C231" s="771"/>
      <c r="D231" s="771"/>
      <c r="E231" s="601"/>
      <c r="F231" s="601"/>
      <c r="G231" s="769"/>
      <c r="H231" s="772"/>
      <c r="I231" s="1002"/>
      <c r="J231" s="1002"/>
      <c r="K231" s="1002"/>
      <c r="L231" s="1002"/>
      <c r="M231" s="2476"/>
      <c r="N231" s="1154"/>
      <c r="O231" s="1154"/>
      <c r="P231" s="1154"/>
      <c r="Q231" s="1154"/>
      <c r="R231" s="1555">
        <v>40</v>
      </c>
      <c r="S231" s="260">
        <f>R231*(6/5)</f>
        <v>48</v>
      </c>
      <c r="T231" s="260">
        <f>3.7854*S231/8</f>
        <v>22.712400000000002</v>
      </c>
      <c r="U231" s="504"/>
      <c r="V231" s="506"/>
      <c r="W231" s="529"/>
      <c r="X231" s="110"/>
      <c r="Y231" s="1251"/>
      <c r="Z231" s="1251"/>
      <c r="AA231" s="1251"/>
      <c r="AB231" s="110"/>
      <c r="AC231" s="110"/>
      <c r="AD231" s="110"/>
      <c r="AE231" s="110"/>
      <c r="AF231" s="110"/>
      <c r="AG231" s="110"/>
      <c r="AH231" s="110"/>
      <c r="AI231" s="110"/>
      <c r="AJ231" s="1910"/>
      <c r="AK231" s="1908"/>
      <c r="AL231" s="1909"/>
      <c r="AM231" s="1251"/>
      <c r="AN231" s="1251"/>
      <c r="AO231" s="2709">
        <v>23</v>
      </c>
      <c r="AP231" s="2712">
        <v>0.80200000000000005</v>
      </c>
      <c r="AQ231" s="1251"/>
      <c r="AR231" s="1251"/>
      <c r="AS231" s="1251"/>
      <c r="AT231" s="1251"/>
    </row>
    <row r="232" spans="1:46" ht="14.25" customHeight="1">
      <c r="A232" s="108"/>
      <c r="B232" s="771"/>
      <c r="C232" s="771"/>
      <c r="D232" s="771"/>
      <c r="E232" s="601"/>
      <c r="F232" s="601"/>
      <c r="G232" s="771"/>
      <c r="H232" s="771"/>
      <c r="I232" s="1002"/>
      <c r="J232" s="1002"/>
      <c r="K232" s="1002"/>
      <c r="L232" s="1002"/>
      <c r="M232" s="2476"/>
      <c r="N232" s="1154"/>
      <c r="O232" s="1154"/>
      <c r="P232" s="1154"/>
      <c r="Q232" s="1154"/>
      <c r="R232" s="1254"/>
      <c r="S232" s="29"/>
      <c r="T232" s="1254"/>
      <c r="U232" s="504"/>
      <c r="V232" s="506"/>
      <c r="W232" s="529"/>
      <c r="X232" s="110"/>
      <c r="Y232" s="1251"/>
      <c r="Z232" s="1251"/>
      <c r="AA232" s="1251"/>
      <c r="AB232" s="110"/>
      <c r="AC232" s="110"/>
      <c r="AD232" s="110"/>
      <c r="AE232" s="110"/>
      <c r="AF232" s="110"/>
      <c r="AG232" s="110"/>
      <c r="AH232" s="110"/>
      <c r="AI232" s="110"/>
      <c r="AJ232" s="1910"/>
      <c r="AK232" s="1908"/>
      <c r="AL232" s="1909"/>
      <c r="AM232" s="1251"/>
      <c r="AN232" s="1251"/>
      <c r="AO232" s="2709">
        <f>(AO231+AO233)/2</f>
        <v>23.5</v>
      </c>
      <c r="AP232" s="2709">
        <f>(AP231+AP233)/2</f>
        <v>0.79150000000000009</v>
      </c>
      <c r="AQ232" s="1251"/>
      <c r="AR232" s="1251"/>
      <c r="AS232" s="1251"/>
      <c r="AT232" s="1251"/>
    </row>
    <row r="233" spans="1:46" ht="14.25" customHeight="1">
      <c r="A233" s="108"/>
      <c r="B233" s="601"/>
      <c r="C233" s="771"/>
      <c r="D233" s="771"/>
      <c r="E233" s="601"/>
      <c r="F233" s="601"/>
      <c r="G233" s="771"/>
      <c r="H233" s="771"/>
      <c r="I233" s="1002"/>
      <c r="J233" s="1002"/>
      <c r="K233" s="1002"/>
      <c r="L233" s="2550"/>
      <c r="M233" s="2550"/>
      <c r="N233" s="2550"/>
      <c r="O233" s="2550"/>
      <c r="P233" s="1154"/>
      <c r="Q233" s="1154"/>
      <c r="R233" s="258" t="s">
        <v>1665</v>
      </c>
      <c r="S233" s="258" t="s">
        <v>1666</v>
      </c>
      <c r="T233" s="258" t="s">
        <v>181</v>
      </c>
      <c r="U233" s="504"/>
      <c r="V233" s="506"/>
      <c r="W233" s="529"/>
      <c r="X233" s="110"/>
      <c r="Y233" s="1251"/>
      <c r="Z233" s="1251"/>
      <c r="AA233" s="1251"/>
      <c r="AB233" s="110"/>
      <c r="AC233" s="110"/>
      <c r="AD233" s="110"/>
      <c r="AE233" s="110"/>
      <c r="AF233" s="110"/>
      <c r="AG233" s="110"/>
      <c r="AH233" s="110"/>
      <c r="AI233" s="110"/>
      <c r="AJ233" s="1910"/>
      <c r="AK233" s="1908"/>
      <c r="AL233" s="1909"/>
      <c r="AM233" s="1251"/>
      <c r="AN233" s="1251"/>
      <c r="AO233" s="2709">
        <v>24</v>
      </c>
      <c r="AP233" s="2712">
        <v>0.78100000000000003</v>
      </c>
      <c r="AQ233" s="1251"/>
      <c r="AR233" s="1251"/>
      <c r="AS233" s="1251"/>
      <c r="AT233" s="1251"/>
    </row>
    <row r="234" spans="1:46" ht="14.25" customHeight="1">
      <c r="A234" s="108"/>
      <c r="B234" s="4176" t="s">
        <v>303</v>
      </c>
      <c r="C234" s="4176"/>
      <c r="D234" s="4176"/>
      <c r="E234" s="4176"/>
      <c r="F234" s="730"/>
      <c r="G234" s="730"/>
      <c r="H234" s="730"/>
      <c r="I234" s="1002"/>
      <c r="J234" s="1002"/>
      <c r="K234" s="771"/>
      <c r="L234" s="2550"/>
      <c r="M234" s="2550"/>
      <c r="N234" s="2550"/>
      <c r="O234" s="2550"/>
      <c r="P234" s="1154"/>
      <c r="Q234" s="1154"/>
      <c r="R234" s="1555">
        <v>48</v>
      </c>
      <c r="S234" s="260">
        <f>R234*(5/6)</f>
        <v>40</v>
      </c>
      <c r="T234" s="260">
        <f>3.7854*R234/8</f>
        <v>22.712400000000002</v>
      </c>
      <c r="U234" s="1154"/>
      <c r="V234" s="1154"/>
      <c r="W234" s="1154"/>
      <c r="X234" s="110"/>
      <c r="Y234" s="1251"/>
      <c r="Z234" s="1251"/>
      <c r="AA234" s="1251"/>
      <c r="AB234" s="110"/>
      <c r="AC234" s="110"/>
      <c r="AD234" s="110"/>
      <c r="AE234" s="110"/>
      <c r="AF234" s="110"/>
      <c r="AG234" s="110"/>
      <c r="AH234" s="110"/>
      <c r="AI234" s="110"/>
      <c r="AJ234" s="1910"/>
      <c r="AK234" s="1908"/>
      <c r="AL234" s="1909"/>
      <c r="AM234" s="1251"/>
      <c r="AN234" s="1251"/>
      <c r="AO234" s="2709">
        <f>(AO233+AO235)/2</f>
        <v>24.5</v>
      </c>
      <c r="AP234" s="2709">
        <f>(AP233+AP235)/2</f>
        <v>0.77</v>
      </c>
      <c r="AQ234" s="1251"/>
      <c r="AR234" s="1251"/>
      <c r="AS234" s="1251"/>
      <c r="AT234" s="1251"/>
    </row>
    <row r="235" spans="1:46" ht="14.25" customHeight="1">
      <c r="A235" s="108"/>
      <c r="B235" s="3980" t="s">
        <v>636</v>
      </c>
      <c r="C235" s="3980"/>
      <c r="D235" s="3980"/>
      <c r="E235" s="3961" t="s">
        <v>1663</v>
      </c>
      <c r="F235" s="3961"/>
      <c r="G235" s="3961"/>
      <c r="H235" s="3961"/>
      <c r="I235" s="3961"/>
      <c r="J235" s="1002"/>
      <c r="K235" s="771"/>
      <c r="L235" s="3962" t="s">
        <v>1602</v>
      </c>
      <c r="M235" s="3962"/>
      <c r="N235" s="3962"/>
      <c r="O235" s="3962"/>
      <c r="P235" s="1154"/>
      <c r="Q235" s="1154"/>
      <c r="R235" s="2476"/>
      <c r="S235" s="1154"/>
      <c r="T235" s="1154"/>
      <c r="U235" s="1154"/>
      <c r="V235" s="1154"/>
      <c r="W235" s="1154"/>
      <c r="X235" s="110"/>
      <c r="Y235" s="1251"/>
      <c r="Z235" s="1251"/>
      <c r="AA235" s="1251"/>
      <c r="AB235" s="110"/>
      <c r="AC235" s="110"/>
      <c r="AD235" s="110"/>
      <c r="AE235" s="110"/>
      <c r="AF235" s="110"/>
      <c r="AG235" s="110"/>
      <c r="AH235" s="110"/>
      <c r="AI235" s="110"/>
      <c r="AJ235" s="1910"/>
      <c r="AK235" s="1908"/>
      <c r="AL235" s="1909"/>
      <c r="AM235" s="1251"/>
      <c r="AN235" s="1251"/>
      <c r="AO235" s="2709">
        <v>25</v>
      </c>
      <c r="AP235" s="2712">
        <v>0.75900000000000001</v>
      </c>
      <c r="AQ235" s="1251"/>
      <c r="AR235" s="1251"/>
      <c r="AS235" s="1251"/>
      <c r="AT235" s="1251"/>
    </row>
    <row r="236" spans="1:46" ht="14.25" customHeight="1">
      <c r="A236" s="108"/>
      <c r="B236" s="771"/>
      <c r="C236" s="771"/>
      <c r="D236" s="771"/>
      <c r="E236" s="3997" t="s">
        <v>638</v>
      </c>
      <c r="F236" s="3997"/>
      <c r="G236" s="2555" t="s">
        <v>639</v>
      </c>
      <c r="H236" s="1558"/>
      <c r="I236" s="2555" t="s">
        <v>640</v>
      </c>
      <c r="J236" s="1860">
        <f>E238*G238/1000</f>
        <v>5.5810579999999996</v>
      </c>
      <c r="K236" s="771"/>
      <c r="L236" s="721"/>
      <c r="M236" s="3963" t="s">
        <v>648</v>
      </c>
      <c r="N236" s="3964"/>
      <c r="O236" s="2215">
        <f>D4</f>
        <v>1077.6389631368538</v>
      </c>
      <c r="P236" s="1154"/>
      <c r="Q236" s="1932"/>
      <c r="R236" s="1932"/>
      <c r="S236" s="1932"/>
      <c r="T236" s="1154"/>
      <c r="U236" s="1154"/>
      <c r="V236" s="1154"/>
      <c r="W236" s="529"/>
      <c r="X236" s="110"/>
      <c r="Y236" s="1251"/>
      <c r="Z236" s="1251"/>
      <c r="AA236" s="1251"/>
      <c r="AB236" s="110"/>
      <c r="AC236" s="110"/>
      <c r="AD236" s="110"/>
      <c r="AE236" s="110"/>
      <c r="AF236" s="110"/>
      <c r="AG236" s="110"/>
      <c r="AH236" s="110"/>
      <c r="AI236" s="110"/>
      <c r="AJ236" s="1910"/>
      <c r="AK236" s="1908"/>
      <c r="AL236" s="1909"/>
      <c r="AM236" s="1251"/>
      <c r="AN236" s="1251"/>
      <c r="AO236" s="2709">
        <f>(AO235+AO237)/2</f>
        <v>25.5</v>
      </c>
      <c r="AP236" s="2709">
        <f>(AP235+AP237)/2</f>
        <v>0.74849999999999994</v>
      </c>
      <c r="AQ236" s="1251"/>
      <c r="AR236" s="1251"/>
      <c r="AS236" s="1251"/>
      <c r="AT236" s="1251"/>
    </row>
    <row r="237" spans="1:46" ht="14.25" customHeight="1">
      <c r="A237" s="108"/>
      <c r="B237" s="771"/>
      <c r="C237" s="771"/>
      <c r="D237" s="771"/>
      <c r="E237" s="3998">
        <v>789.4</v>
      </c>
      <c r="F237" s="3998"/>
      <c r="G237" s="2556">
        <v>7.07</v>
      </c>
      <c r="H237" s="1558"/>
      <c r="I237" s="2556">
        <v>3.85</v>
      </c>
      <c r="J237" s="3965" t="s">
        <v>642</v>
      </c>
      <c r="K237" s="3965"/>
      <c r="L237" s="721"/>
      <c r="M237" s="3963" t="s">
        <v>649</v>
      </c>
      <c r="N237" s="3964"/>
      <c r="O237" s="2215">
        <f>D5</f>
        <v>993.79376242256706</v>
      </c>
      <c r="P237" s="1154"/>
      <c r="Q237" s="126"/>
      <c r="R237" s="126"/>
      <c r="S237" s="529"/>
      <c r="T237" s="4185" t="s">
        <v>400</v>
      </c>
      <c r="U237" s="4186"/>
      <c r="V237" s="4187"/>
      <c r="W237" s="529"/>
      <c r="X237" s="110"/>
      <c r="Y237" s="1251"/>
      <c r="Z237" s="1251"/>
      <c r="AA237" s="1251"/>
      <c r="AB237" s="110"/>
      <c r="AC237" s="110"/>
      <c r="AD237" s="110"/>
      <c r="AE237" s="110"/>
      <c r="AF237" s="110"/>
      <c r="AG237" s="110"/>
      <c r="AH237" s="110"/>
      <c r="AI237" s="110"/>
      <c r="AJ237" s="1910"/>
      <c r="AK237" s="1908"/>
      <c r="AL237" s="1909"/>
      <c r="AM237" s="1251"/>
      <c r="AN237" s="1251"/>
      <c r="AO237" s="2709">
        <v>26</v>
      </c>
      <c r="AP237" s="2712">
        <v>0.73799999999999999</v>
      </c>
      <c r="AQ237" s="1251"/>
      <c r="AR237" s="1251"/>
      <c r="AS237" s="1251"/>
      <c r="AT237" s="1251"/>
    </row>
    <row r="238" spans="1:46" ht="14.25" customHeight="1">
      <c r="A238" s="108"/>
      <c r="B238" s="771"/>
      <c r="C238" s="771"/>
      <c r="D238" s="771"/>
      <c r="E238" s="4175">
        <v>789.4</v>
      </c>
      <c r="F238" s="4175"/>
      <c r="G238" s="2927">
        <v>7.07</v>
      </c>
      <c r="H238" s="2475"/>
      <c r="I238" s="2927">
        <v>3.85</v>
      </c>
      <c r="J238" s="3959" t="s">
        <v>644</v>
      </c>
      <c r="K238" s="3959"/>
      <c r="L238" s="721"/>
      <c r="M238" s="3963" t="s">
        <v>650</v>
      </c>
      <c r="N238" s="3964"/>
      <c r="O238" s="1622">
        <f>(O236-O237)/(7.75-(3*(O236-1000)/800))</f>
        <v>11.241030052420959</v>
      </c>
      <c r="P238" s="1154"/>
      <c r="Q238" s="126"/>
      <c r="R238" s="126"/>
      <c r="S238" s="529"/>
      <c r="T238" s="138" t="s">
        <v>24</v>
      </c>
      <c r="U238" s="138" t="s">
        <v>656</v>
      </c>
      <c r="V238" s="138" t="s">
        <v>133</v>
      </c>
      <c r="W238" s="529"/>
      <c r="X238" s="110"/>
      <c r="Y238" s="1251"/>
      <c r="Z238" s="1251"/>
      <c r="AA238" s="1251"/>
      <c r="AB238" s="110"/>
      <c r="AC238" s="110"/>
      <c r="AD238" s="110"/>
      <c r="AE238" s="110"/>
      <c r="AF238" s="110"/>
      <c r="AG238" s="110"/>
      <c r="AH238" s="110"/>
      <c r="AI238" s="110"/>
      <c r="AJ238" s="1910"/>
      <c r="AK238" s="1908"/>
      <c r="AL238" s="1909"/>
      <c r="AM238" s="1251"/>
      <c r="AN238" s="1251"/>
      <c r="AO238" s="2709">
        <v>27</v>
      </c>
      <c r="AP238" s="2712">
        <v>0.71799999999999997</v>
      </c>
      <c r="AQ238" s="1251"/>
      <c r="AR238" s="1251"/>
      <c r="AS238" s="1251"/>
      <c r="AT238" s="1251"/>
    </row>
    <row r="239" spans="1:46" ht="14.25" customHeight="1">
      <c r="A239" s="108"/>
      <c r="B239" s="721"/>
      <c r="C239" s="721"/>
      <c r="D239" s="721"/>
      <c r="E239" s="3960" t="s">
        <v>1061</v>
      </c>
      <c r="F239" s="3960"/>
      <c r="G239" s="3960"/>
      <c r="H239" s="3960"/>
      <c r="I239" s="3960"/>
      <c r="J239" s="1852"/>
      <c r="K239" s="1852"/>
      <c r="L239" s="721"/>
      <c r="M239" s="4172" t="s">
        <v>1172</v>
      </c>
      <c r="N239" s="4172"/>
      <c r="O239" s="4172"/>
      <c r="P239" s="1925"/>
      <c r="Q239" s="1853"/>
      <c r="R239" s="126"/>
      <c r="S239" s="529"/>
      <c r="T239" s="139">
        <v>1</v>
      </c>
      <c r="U239" s="394">
        <f t="shared" ref="U239:U259" si="108">T$196*T239</f>
        <v>0.1111</v>
      </c>
      <c r="V239" s="138">
        <f t="shared" ref="V239:V280" si="109">U239*28.3495</f>
        <v>3.1496294499999999</v>
      </c>
      <c r="W239" s="529"/>
      <c r="X239" s="110"/>
      <c r="Y239" s="1251"/>
      <c r="Z239" s="1251"/>
      <c r="AA239" s="1251"/>
      <c r="AB239" s="110"/>
      <c r="AC239" s="110"/>
      <c r="AD239" s="110"/>
      <c r="AE239" s="110"/>
      <c r="AF239" s="110"/>
      <c r="AG239" s="110"/>
      <c r="AH239" s="110"/>
      <c r="AI239" s="110"/>
      <c r="AJ239" s="1910"/>
      <c r="AK239" s="1908"/>
      <c r="AL239" s="1909"/>
      <c r="AM239" s="1251"/>
      <c r="AN239" s="1251"/>
      <c r="AO239" s="2709">
        <v>28</v>
      </c>
      <c r="AP239" s="2712">
        <v>0.69899999999999995</v>
      </c>
      <c r="AQ239" s="1251"/>
      <c r="AR239" s="1251"/>
      <c r="AS239" s="1251"/>
      <c r="AT239" s="1251"/>
    </row>
    <row r="240" spans="1:46" ht="14.25" customHeight="1">
      <c r="A240" s="108"/>
      <c r="B240" s="721"/>
      <c r="C240" s="721"/>
      <c r="D240" s="721"/>
      <c r="E240" s="721"/>
      <c r="F240" s="721"/>
      <c r="G240" s="721"/>
      <c r="H240" s="721"/>
      <c r="I240" s="721"/>
      <c r="J240" s="721"/>
      <c r="K240" s="721"/>
      <c r="L240" s="2212"/>
      <c r="M240" s="4173"/>
      <c r="N240" s="4173"/>
      <c r="O240" s="4173"/>
      <c r="P240" s="2586"/>
      <c r="Q240" s="1853"/>
      <c r="R240" s="126"/>
      <c r="S240" s="529"/>
      <c r="T240" s="139">
        <f t="shared" ref="T240:T263" si="110">T239+0.5</f>
        <v>1.5</v>
      </c>
      <c r="U240" s="394">
        <f t="shared" si="108"/>
        <v>0.16665000000000002</v>
      </c>
      <c r="V240" s="138">
        <f t="shared" si="109"/>
        <v>4.7244441750000004</v>
      </c>
      <c r="W240" s="529"/>
      <c r="X240" s="110"/>
      <c r="Y240" s="1251"/>
      <c r="Z240" s="1251"/>
      <c r="AA240" s="1251"/>
      <c r="AB240" s="110"/>
      <c r="AC240" s="110"/>
      <c r="AD240" s="110"/>
      <c r="AE240" s="110"/>
      <c r="AF240" s="110"/>
      <c r="AG240" s="110"/>
      <c r="AH240" s="110"/>
      <c r="AI240" s="110"/>
      <c r="AJ240" s="1910"/>
      <c r="AK240" s="1908"/>
      <c r="AL240" s="1909"/>
      <c r="AM240" s="1251"/>
      <c r="AN240" s="1251"/>
      <c r="AO240" s="2709">
        <v>29</v>
      </c>
      <c r="AP240" s="2711">
        <v>0.68200000000000005</v>
      </c>
      <c r="AQ240" s="1251"/>
      <c r="AR240" s="1251"/>
      <c r="AS240" s="1251"/>
      <c r="AT240" s="1251"/>
    </row>
    <row r="241" spans="1:46" ht="14.25" customHeight="1">
      <c r="A241" s="108"/>
      <c r="B241" s="4159" t="s">
        <v>959</v>
      </c>
      <c r="C241" s="4159"/>
      <c r="D241" s="1154"/>
      <c r="E241" s="1154"/>
      <c r="F241" s="1154"/>
      <c r="G241" s="1154"/>
      <c r="H241" s="1154"/>
      <c r="I241" s="1154"/>
      <c r="J241" s="1154"/>
      <c r="K241" s="1154"/>
      <c r="L241" s="1154"/>
      <c r="M241" s="4173"/>
      <c r="N241" s="4173"/>
      <c r="O241" s="4173"/>
      <c r="P241" s="1154"/>
      <c r="Q241" s="1853"/>
      <c r="R241" s="126"/>
      <c r="S241" s="529"/>
      <c r="T241" s="139">
        <f t="shared" si="110"/>
        <v>2</v>
      </c>
      <c r="U241" s="394">
        <f t="shared" si="108"/>
        <v>0.22220000000000001</v>
      </c>
      <c r="V241" s="138">
        <f t="shared" si="109"/>
        <v>6.2992588999999999</v>
      </c>
      <c r="W241" s="529"/>
      <c r="X241" s="110"/>
      <c r="Y241" s="1251"/>
      <c r="Z241" s="1251"/>
      <c r="AA241" s="1251"/>
      <c r="AB241" s="110"/>
      <c r="AC241" s="110"/>
      <c r="AD241" s="110"/>
      <c r="AE241" s="110"/>
      <c r="AF241" s="110"/>
      <c r="AG241" s="110"/>
      <c r="AH241" s="110"/>
      <c r="AI241" s="110"/>
      <c r="AJ241" s="1910"/>
      <c r="AK241" s="1908"/>
      <c r="AL241" s="1909"/>
      <c r="AM241" s="1251"/>
      <c r="AN241" s="1251"/>
      <c r="AO241" s="2709">
        <v>30</v>
      </c>
      <c r="AP241" s="2711">
        <v>0.66500000000000004</v>
      </c>
      <c r="AQ241" s="1251"/>
      <c r="AR241" s="1251"/>
      <c r="AS241" s="1251"/>
      <c r="AT241" s="1251"/>
    </row>
    <row r="242" spans="1:46" ht="14.25" customHeight="1">
      <c r="A242" s="108"/>
      <c r="B242" s="1154"/>
      <c r="C242" s="1853"/>
      <c r="D242" s="1854"/>
      <c r="E242" s="1854"/>
      <c r="F242" s="1854"/>
      <c r="G242" s="1855"/>
      <c r="H242" s="1854"/>
      <c r="I242" s="1853"/>
      <c r="J242" s="1853"/>
      <c r="K242" s="1853"/>
      <c r="L242" s="1853"/>
      <c r="M242" s="1853"/>
      <c r="N242" s="1853"/>
      <c r="O242" s="1854"/>
      <c r="P242" s="1855"/>
      <c r="Q242" s="1853"/>
      <c r="R242" s="126"/>
      <c r="S242" s="529"/>
      <c r="T242" s="139">
        <f t="shared" si="110"/>
        <v>2.5</v>
      </c>
      <c r="U242" s="394">
        <f t="shared" si="108"/>
        <v>0.27775</v>
      </c>
      <c r="V242" s="138">
        <f t="shared" si="109"/>
        <v>7.8740736249999994</v>
      </c>
      <c r="W242" s="529"/>
      <c r="X242" s="110"/>
      <c r="Y242" s="1251"/>
      <c r="Z242" s="1251"/>
      <c r="AA242" s="1251"/>
      <c r="AB242" s="110"/>
      <c r="AC242" s="110"/>
      <c r="AD242" s="110"/>
      <c r="AE242" s="110"/>
      <c r="AF242" s="110"/>
      <c r="AG242" s="110"/>
      <c r="AH242" s="110"/>
      <c r="AI242" s="110"/>
      <c r="AJ242" s="1910"/>
      <c r="AK242" s="1908"/>
      <c r="AL242" s="1909"/>
      <c r="AM242" s="1251"/>
      <c r="AN242" s="1251"/>
      <c r="AO242" s="1251"/>
      <c r="AP242" s="1251"/>
      <c r="AQ242" s="1251"/>
      <c r="AR242" s="1251"/>
      <c r="AS242" s="1251"/>
      <c r="AT242" s="1251"/>
    </row>
    <row r="243" spans="1:46" ht="14.25" customHeight="1">
      <c r="A243" s="108"/>
      <c r="B243" s="1154"/>
      <c r="C243" s="1853"/>
      <c r="D243" s="1854"/>
      <c r="E243" s="1854"/>
      <c r="F243" s="1854"/>
      <c r="G243" s="1855"/>
      <c r="H243" s="1854"/>
      <c r="I243" s="1853"/>
      <c r="J243" s="1853"/>
      <c r="K243" s="1853"/>
      <c r="L243" s="1853"/>
      <c r="M243" s="1853"/>
      <c r="N243" s="1853"/>
      <c r="O243" s="1854"/>
      <c r="P243" s="1855"/>
      <c r="Q243" s="1853"/>
      <c r="R243" s="126"/>
      <c r="S243" s="529"/>
      <c r="T243" s="139">
        <f t="shared" si="110"/>
        <v>3</v>
      </c>
      <c r="U243" s="394">
        <f t="shared" si="108"/>
        <v>0.33330000000000004</v>
      </c>
      <c r="V243" s="138">
        <f t="shared" si="109"/>
        <v>9.4488883500000007</v>
      </c>
      <c r="W243" s="529"/>
      <c r="X243" s="110"/>
      <c r="Y243" s="1251"/>
      <c r="Z243" s="1251"/>
      <c r="AA243" s="1251"/>
      <c r="AB243" s="110"/>
      <c r="AC243" s="110"/>
      <c r="AD243" s="110"/>
      <c r="AE243" s="110"/>
      <c r="AF243" s="110"/>
      <c r="AG243" s="110"/>
      <c r="AH243" s="110"/>
      <c r="AI243" s="110"/>
      <c r="AJ243" s="1910"/>
      <c r="AK243" s="1908"/>
      <c r="AL243" s="1909"/>
      <c r="AM243" s="1251"/>
      <c r="AN243" s="1251"/>
      <c r="AO243" s="1251"/>
      <c r="AP243" s="1251"/>
      <c r="AQ243" s="1251"/>
      <c r="AR243" s="1251"/>
      <c r="AS243" s="1251"/>
      <c r="AT243" s="1251"/>
    </row>
    <row r="244" spans="1:46" ht="14.25" customHeight="1">
      <c r="A244" s="108"/>
      <c r="B244" s="1154"/>
      <c r="C244" s="1853"/>
      <c r="D244" s="1854"/>
      <c r="E244" s="1854"/>
      <c r="F244" s="1854"/>
      <c r="G244" s="1855"/>
      <c r="H244" s="1854"/>
      <c r="I244" s="1853"/>
      <c r="J244" s="1853"/>
      <c r="K244" s="1853"/>
      <c r="L244" s="1853"/>
      <c r="M244" s="1853"/>
      <c r="N244" s="1853"/>
      <c r="O244" s="1854"/>
      <c r="P244" s="1855"/>
      <c r="Q244" s="1853"/>
      <c r="R244" s="126"/>
      <c r="S244" s="529"/>
      <c r="T244" s="139">
        <f t="shared" si="110"/>
        <v>3.5</v>
      </c>
      <c r="U244" s="394">
        <f t="shared" si="108"/>
        <v>0.38885000000000003</v>
      </c>
      <c r="V244" s="138">
        <f t="shared" si="109"/>
        <v>11.023703075</v>
      </c>
      <c r="W244" s="529"/>
      <c r="X244" s="110"/>
      <c r="Y244" s="1251"/>
      <c r="Z244" s="1251"/>
      <c r="AA244" s="1251"/>
      <c r="AB244" s="110"/>
      <c r="AC244" s="110"/>
      <c r="AD244" s="110"/>
      <c r="AE244" s="110"/>
      <c r="AF244" s="110"/>
      <c r="AG244" s="110"/>
      <c r="AH244" s="110"/>
      <c r="AI244" s="110"/>
      <c r="AJ244" s="1910"/>
      <c r="AK244" s="1908"/>
      <c r="AL244" s="1909"/>
      <c r="AM244" s="1251"/>
      <c r="AN244" s="1251"/>
      <c r="AO244" s="1251"/>
      <c r="AP244" s="1251"/>
      <c r="AQ244" s="1251"/>
      <c r="AR244" s="1251"/>
      <c r="AS244" s="1251"/>
      <c r="AT244" s="1251"/>
    </row>
    <row r="245" spans="1:46" ht="14.25" customHeight="1">
      <c r="A245" s="108"/>
      <c r="B245" s="1154"/>
      <c r="C245" s="1853"/>
      <c r="D245" s="1854"/>
      <c r="E245" s="1854"/>
      <c r="F245" s="1854"/>
      <c r="G245" s="1855"/>
      <c r="H245" s="1854"/>
      <c r="I245" s="1853"/>
      <c r="J245" s="1853"/>
      <c r="K245" s="1853"/>
      <c r="L245" s="1853"/>
      <c r="M245" s="1853"/>
      <c r="N245" s="1853"/>
      <c r="O245" s="1854"/>
      <c r="P245" s="1855"/>
      <c r="Q245" s="1853"/>
      <c r="R245" s="126"/>
      <c r="S245" s="529"/>
      <c r="T245" s="139">
        <f t="shared" si="110"/>
        <v>4</v>
      </c>
      <c r="U245" s="394">
        <f t="shared" si="108"/>
        <v>0.44440000000000002</v>
      </c>
      <c r="V245" s="138">
        <f t="shared" si="109"/>
        <v>12.5985178</v>
      </c>
      <c r="W245" s="529"/>
      <c r="X245" s="110"/>
      <c r="Y245" s="1251"/>
      <c r="Z245" s="1251"/>
      <c r="AA245" s="1251"/>
      <c r="AB245" s="110"/>
      <c r="AC245" s="110"/>
      <c r="AD245" s="110"/>
      <c r="AE245" s="110"/>
      <c r="AF245" s="110"/>
      <c r="AG245" s="110"/>
      <c r="AH245" s="110"/>
      <c r="AI245" s="110"/>
      <c r="AJ245" s="1910"/>
      <c r="AK245" s="1908"/>
      <c r="AL245" s="1909"/>
      <c r="AM245" s="1251"/>
      <c r="AN245" s="1251"/>
      <c r="AO245" s="1251"/>
      <c r="AP245" s="1251"/>
      <c r="AQ245" s="1251"/>
      <c r="AR245" s="1251"/>
      <c r="AS245" s="1251"/>
      <c r="AT245" s="1251"/>
    </row>
    <row r="246" spans="1:46" ht="14.25" customHeight="1">
      <c r="A246" s="108"/>
      <c r="B246" s="1154"/>
      <c r="C246" s="1853"/>
      <c r="D246" s="1854"/>
      <c r="E246" s="1854"/>
      <c r="F246" s="1854"/>
      <c r="G246" s="1855"/>
      <c r="H246" s="1854"/>
      <c r="I246" s="1853"/>
      <c r="J246" s="1853"/>
      <c r="K246" s="1853"/>
      <c r="L246" s="1853"/>
      <c r="M246" s="1853"/>
      <c r="N246" s="1853"/>
      <c r="O246" s="1854"/>
      <c r="P246" s="1855"/>
      <c r="Q246" s="1853"/>
      <c r="R246" s="126"/>
      <c r="S246" s="529"/>
      <c r="T246" s="139">
        <f t="shared" si="110"/>
        <v>4.5</v>
      </c>
      <c r="U246" s="394">
        <f t="shared" si="108"/>
        <v>0.49995000000000001</v>
      </c>
      <c r="V246" s="138">
        <f t="shared" si="109"/>
        <v>14.173332524999999</v>
      </c>
      <c r="W246" s="529"/>
      <c r="X246" s="110"/>
      <c r="Y246" s="1251"/>
      <c r="Z246" s="1251"/>
      <c r="AA246" s="1251"/>
      <c r="AB246" s="110"/>
      <c r="AC246" s="110"/>
      <c r="AD246" s="110"/>
      <c r="AE246" s="110"/>
      <c r="AF246" s="110"/>
      <c r="AG246" s="110"/>
      <c r="AH246" s="110"/>
      <c r="AI246" s="110"/>
      <c r="AJ246" s="1910"/>
      <c r="AK246" s="1908"/>
      <c r="AL246" s="1909"/>
      <c r="AM246" s="1251"/>
      <c r="AN246" s="1251"/>
      <c r="AO246" s="1251"/>
      <c r="AP246" s="1251"/>
      <c r="AQ246" s="1251"/>
      <c r="AR246" s="1251"/>
      <c r="AS246" s="1251"/>
      <c r="AT246" s="1251"/>
    </row>
    <row r="247" spans="1:46" ht="14.25" customHeight="1">
      <c r="A247" s="108"/>
      <c r="B247" s="1154"/>
      <c r="C247" s="1853"/>
      <c r="D247" s="1854"/>
      <c r="E247" s="1854"/>
      <c r="F247" s="1854"/>
      <c r="G247" s="1855"/>
      <c r="H247" s="1854"/>
      <c r="I247" s="1853"/>
      <c r="J247" s="1853"/>
      <c r="K247" s="1853"/>
      <c r="L247" s="1853"/>
      <c r="M247" s="1853"/>
      <c r="N247" s="1853"/>
      <c r="O247" s="1854"/>
      <c r="P247" s="1855"/>
      <c r="Q247" s="1853"/>
      <c r="R247" s="126"/>
      <c r="S247" s="529"/>
      <c r="T247" s="139">
        <f t="shared" si="110"/>
        <v>5</v>
      </c>
      <c r="U247" s="394">
        <f t="shared" si="108"/>
        <v>0.55549999999999999</v>
      </c>
      <c r="V247" s="138">
        <f t="shared" si="109"/>
        <v>15.748147249999999</v>
      </c>
      <c r="W247" s="529"/>
      <c r="X247" s="110"/>
      <c r="Y247" s="1251"/>
      <c r="Z247" s="1251"/>
      <c r="AA247" s="1251"/>
      <c r="AB247" s="110"/>
      <c r="AC247" s="110"/>
      <c r="AD247" s="110"/>
      <c r="AE247" s="110"/>
      <c r="AF247" s="110"/>
      <c r="AG247" s="110"/>
      <c r="AH247" s="110"/>
      <c r="AI247" s="110"/>
      <c r="AJ247" s="1910"/>
      <c r="AK247" s="1908"/>
      <c r="AL247" s="1909"/>
      <c r="AM247" s="1251"/>
      <c r="AN247" s="1251"/>
      <c r="AO247" s="1251"/>
      <c r="AP247" s="1251"/>
      <c r="AQ247" s="1251"/>
      <c r="AR247" s="1251"/>
      <c r="AS247" s="1251"/>
      <c r="AT247" s="1251"/>
    </row>
    <row r="248" spans="1:46" ht="14.25" customHeight="1">
      <c r="A248" s="108"/>
      <c r="B248" s="1154"/>
      <c r="C248" s="1853"/>
      <c r="D248" s="1854"/>
      <c r="E248" s="1854"/>
      <c r="F248" s="1854"/>
      <c r="G248" s="1855"/>
      <c r="H248" s="1854"/>
      <c r="I248" s="1853"/>
      <c r="J248" s="1853"/>
      <c r="K248" s="1853"/>
      <c r="L248" s="1853"/>
      <c r="M248" s="1853"/>
      <c r="N248" s="1853"/>
      <c r="O248" s="1854"/>
      <c r="P248" s="1855"/>
      <c r="Q248" s="1853"/>
      <c r="R248" s="126"/>
      <c r="S248" s="529"/>
      <c r="T248" s="139">
        <f t="shared" si="110"/>
        <v>5.5</v>
      </c>
      <c r="U248" s="394">
        <f t="shared" si="108"/>
        <v>0.61104999999999998</v>
      </c>
      <c r="V248" s="138">
        <f t="shared" si="109"/>
        <v>17.322961974999998</v>
      </c>
      <c r="W248" s="529"/>
      <c r="X248" s="110"/>
      <c r="Y248" s="1251"/>
      <c r="Z248" s="1251"/>
      <c r="AA248" s="1251"/>
      <c r="AB248" s="110"/>
      <c r="AC248" s="110"/>
      <c r="AD248" s="110"/>
      <c r="AE248" s="110"/>
      <c r="AF248" s="110"/>
      <c r="AG248" s="110"/>
      <c r="AH248" s="110"/>
      <c r="AI248" s="110"/>
      <c r="AJ248" s="1910"/>
      <c r="AK248" s="1908"/>
      <c r="AL248" s="1909"/>
      <c r="AM248" s="1251"/>
      <c r="AN248" s="1251"/>
      <c r="AO248" s="1251"/>
      <c r="AP248" s="1251"/>
      <c r="AQ248" s="1251"/>
      <c r="AR248" s="1251"/>
      <c r="AS248" s="1251"/>
      <c r="AT248" s="1251"/>
    </row>
    <row r="249" spans="1:46" ht="14.25" customHeight="1">
      <c r="A249" s="108"/>
      <c r="B249" s="1154"/>
      <c r="C249" s="1853"/>
      <c r="D249" s="1854"/>
      <c r="E249" s="1854"/>
      <c r="F249" s="1854"/>
      <c r="G249" s="1855"/>
      <c r="H249" s="1854"/>
      <c r="I249" s="1853"/>
      <c r="J249" s="1853"/>
      <c r="K249" s="1853"/>
      <c r="L249" s="1853"/>
      <c r="M249" s="1853"/>
      <c r="N249" s="1853"/>
      <c r="O249" s="1854"/>
      <c r="P249" s="1855"/>
      <c r="Q249" s="1853"/>
      <c r="R249" s="126"/>
      <c r="S249" s="529"/>
      <c r="T249" s="139">
        <f t="shared" si="110"/>
        <v>6</v>
      </c>
      <c r="U249" s="394">
        <f t="shared" si="108"/>
        <v>0.66660000000000008</v>
      </c>
      <c r="V249" s="138">
        <f t="shared" si="109"/>
        <v>18.897776700000001</v>
      </c>
      <c r="W249" s="529"/>
      <c r="X249" s="110"/>
      <c r="Y249" s="1251"/>
      <c r="Z249" s="1251"/>
      <c r="AA249" s="1251"/>
      <c r="AB249" s="110"/>
      <c r="AC249" s="110"/>
      <c r="AD249" s="110"/>
      <c r="AE249" s="110"/>
      <c r="AF249" s="110"/>
      <c r="AG249" s="110"/>
      <c r="AH249" s="110"/>
      <c r="AI249" s="110"/>
      <c r="AJ249" s="1910"/>
      <c r="AK249" s="1908"/>
      <c r="AL249" s="1909"/>
      <c r="AM249" s="1251"/>
      <c r="AN249" s="1251"/>
      <c r="AO249" s="1251"/>
      <c r="AP249" s="1251"/>
      <c r="AQ249" s="1251"/>
      <c r="AR249" s="1251"/>
      <c r="AS249" s="1251"/>
      <c r="AT249" s="1251"/>
    </row>
    <row r="250" spans="1:46" ht="14.25" customHeight="1">
      <c r="A250" s="108"/>
      <c r="B250" s="1154"/>
      <c r="C250" s="1853"/>
      <c r="D250" s="1854"/>
      <c r="E250" s="1854"/>
      <c r="F250" s="1854"/>
      <c r="G250" s="1855"/>
      <c r="H250" s="1854"/>
      <c r="I250" s="1853"/>
      <c r="J250" s="1853"/>
      <c r="K250" s="1853"/>
      <c r="L250" s="1853"/>
      <c r="M250" s="1853"/>
      <c r="N250" s="1853"/>
      <c r="O250" s="1854"/>
      <c r="P250" s="1855"/>
      <c r="Q250" s="1853"/>
      <c r="R250" s="126"/>
      <c r="S250" s="529"/>
      <c r="T250" s="139">
        <f t="shared" si="110"/>
        <v>6.5</v>
      </c>
      <c r="U250" s="394">
        <f t="shared" si="108"/>
        <v>0.72215000000000007</v>
      </c>
      <c r="V250" s="138">
        <f t="shared" si="109"/>
        <v>20.472591425000001</v>
      </c>
      <c r="W250" s="529"/>
      <c r="X250" s="110"/>
      <c r="Y250" s="1251"/>
      <c r="Z250" s="1251"/>
      <c r="AA250" s="1251"/>
      <c r="AB250" s="110"/>
      <c r="AC250" s="110"/>
      <c r="AD250" s="110"/>
      <c r="AE250" s="110"/>
      <c r="AF250" s="110"/>
      <c r="AG250" s="110"/>
      <c r="AH250" s="110"/>
      <c r="AI250" s="110"/>
      <c r="AJ250" s="1910"/>
      <c r="AK250" s="1908"/>
      <c r="AL250" s="1909"/>
      <c r="AM250" s="1251"/>
      <c r="AN250" s="1251"/>
      <c r="AO250" s="1251"/>
      <c r="AP250" s="1251"/>
      <c r="AQ250" s="1251"/>
      <c r="AR250" s="1251"/>
      <c r="AS250" s="1251"/>
      <c r="AT250" s="1251"/>
    </row>
    <row r="251" spans="1:46" ht="14.25" customHeight="1">
      <c r="A251" s="108"/>
      <c r="B251" s="1154"/>
      <c r="C251" s="1853"/>
      <c r="D251" s="1854"/>
      <c r="E251" s="1854"/>
      <c r="F251" s="1854"/>
      <c r="G251" s="1855"/>
      <c r="H251" s="1854"/>
      <c r="I251" s="1853"/>
      <c r="J251" s="1853"/>
      <c r="K251" s="1853"/>
      <c r="L251" s="1853"/>
      <c r="M251" s="1853"/>
      <c r="N251" s="1853"/>
      <c r="O251" s="1854"/>
      <c r="P251" s="1855"/>
      <c r="Q251" s="1853"/>
      <c r="R251" s="126"/>
      <c r="S251" s="529"/>
      <c r="T251" s="139">
        <f t="shared" si="110"/>
        <v>7</v>
      </c>
      <c r="U251" s="394">
        <f t="shared" si="108"/>
        <v>0.77770000000000006</v>
      </c>
      <c r="V251" s="138">
        <f t="shared" si="109"/>
        <v>22.04740615</v>
      </c>
      <c r="W251" s="529"/>
      <c r="X251" s="110"/>
      <c r="Y251" s="1251"/>
      <c r="Z251" s="1251"/>
      <c r="AA251" s="1251"/>
      <c r="AB251" s="110"/>
      <c r="AC251" s="110"/>
      <c r="AD251" s="110"/>
      <c r="AE251" s="110"/>
      <c r="AF251" s="110"/>
      <c r="AG251" s="110"/>
      <c r="AH251" s="110"/>
      <c r="AI251" s="110"/>
      <c r="AJ251" s="1910"/>
      <c r="AK251" s="1908"/>
      <c r="AL251" s="1909"/>
      <c r="AM251" s="1251"/>
      <c r="AN251" s="1251"/>
      <c r="AO251" s="1251"/>
      <c r="AP251" s="1251"/>
      <c r="AQ251" s="1251"/>
      <c r="AR251" s="1251"/>
      <c r="AS251" s="1251"/>
      <c r="AT251" s="1251"/>
    </row>
    <row r="252" spans="1:46" ht="14.25" customHeight="1">
      <c r="A252" s="108"/>
      <c r="B252" s="1154"/>
      <c r="C252" s="1853"/>
      <c r="D252" s="1854"/>
      <c r="E252" s="1854"/>
      <c r="F252" s="1854"/>
      <c r="G252" s="1855"/>
      <c r="H252" s="1854"/>
      <c r="I252" s="1853"/>
      <c r="J252" s="1853"/>
      <c r="K252" s="1853"/>
      <c r="L252" s="1853"/>
      <c r="M252" s="1853"/>
      <c r="N252" s="1853"/>
      <c r="O252" s="1854"/>
      <c r="P252" s="1855"/>
      <c r="Q252" s="1853"/>
      <c r="R252" s="126"/>
      <c r="S252" s="529"/>
      <c r="T252" s="139">
        <f t="shared" si="110"/>
        <v>7.5</v>
      </c>
      <c r="U252" s="394">
        <f t="shared" si="108"/>
        <v>0.83325000000000005</v>
      </c>
      <c r="V252" s="138">
        <f t="shared" si="109"/>
        <v>23.622220875</v>
      </c>
      <c r="W252" s="529"/>
      <c r="X252" s="110"/>
      <c r="Y252" s="1251"/>
      <c r="Z252" s="1251"/>
      <c r="AA252" s="1251"/>
      <c r="AB252" s="110"/>
      <c r="AC252" s="110"/>
      <c r="AD252" s="110"/>
      <c r="AE252" s="110"/>
      <c r="AF252" s="110"/>
      <c r="AG252" s="110"/>
      <c r="AH252" s="110"/>
      <c r="AI252" s="110"/>
      <c r="AJ252" s="1910"/>
      <c r="AK252" s="1908"/>
      <c r="AL252" s="1909"/>
      <c r="AM252" s="1251"/>
      <c r="AN252" s="1251"/>
      <c r="AO252" s="1251"/>
      <c r="AP252" s="1251"/>
      <c r="AQ252" s="1251"/>
      <c r="AR252" s="1251"/>
      <c r="AS252" s="1251"/>
      <c r="AT252" s="1251"/>
    </row>
    <row r="253" spans="1:46" ht="14.25" customHeight="1">
      <c r="A253" s="108"/>
      <c r="B253" s="1154"/>
      <c r="C253" s="1853"/>
      <c r="D253" s="1854"/>
      <c r="E253" s="1854"/>
      <c r="F253" s="1854"/>
      <c r="G253" s="1855"/>
      <c r="H253" s="1854"/>
      <c r="I253" s="1853"/>
      <c r="J253" s="1853"/>
      <c r="K253" s="1853"/>
      <c r="L253" s="1853"/>
      <c r="M253" s="1853"/>
      <c r="N253" s="1853"/>
      <c r="O253" s="1854"/>
      <c r="P253" s="1855"/>
      <c r="Q253" s="1853"/>
      <c r="R253" s="126"/>
      <c r="S253" s="529"/>
      <c r="T253" s="139">
        <f t="shared" si="110"/>
        <v>8</v>
      </c>
      <c r="U253" s="394">
        <f t="shared" si="108"/>
        <v>0.88880000000000003</v>
      </c>
      <c r="V253" s="138">
        <f t="shared" si="109"/>
        <v>25.1970356</v>
      </c>
      <c r="W253" s="529"/>
      <c r="X253" s="110"/>
      <c r="Y253" s="1251"/>
      <c r="Z253" s="1251"/>
      <c r="AA253" s="1251"/>
      <c r="AB253" s="110"/>
      <c r="AC253" s="110"/>
      <c r="AD253" s="110"/>
      <c r="AE253" s="110"/>
      <c r="AF253" s="110"/>
      <c r="AG253" s="110"/>
      <c r="AH253" s="110"/>
      <c r="AI253" s="110"/>
      <c r="AJ253" s="1910"/>
      <c r="AK253" s="1908"/>
      <c r="AL253" s="1909"/>
      <c r="AM253" s="1251"/>
      <c r="AN253" s="1251"/>
      <c r="AO253" s="1251"/>
      <c r="AP253" s="1251"/>
      <c r="AQ253" s="1251"/>
      <c r="AR253" s="1251"/>
      <c r="AS253" s="1251"/>
      <c r="AT253" s="1251"/>
    </row>
    <row r="254" spans="1:46" ht="14.25" customHeight="1">
      <c r="A254" s="108"/>
      <c r="B254" s="1154"/>
      <c r="C254" s="1853"/>
      <c r="D254" s="1854"/>
      <c r="E254" s="1854"/>
      <c r="F254" s="1854"/>
      <c r="G254" s="1855"/>
      <c r="H254" s="1854"/>
      <c r="I254" s="1853"/>
      <c r="J254" s="1853"/>
      <c r="K254" s="1853"/>
      <c r="L254" s="1853"/>
      <c r="M254" s="1853"/>
      <c r="N254" s="1853"/>
      <c r="O254" s="1854"/>
      <c r="P254" s="1855"/>
      <c r="Q254" s="1853"/>
      <c r="R254" s="126"/>
      <c r="S254" s="529"/>
      <c r="T254" s="139">
        <f t="shared" si="110"/>
        <v>8.5</v>
      </c>
      <c r="U254" s="394">
        <f t="shared" si="108"/>
        <v>0.94435000000000002</v>
      </c>
      <c r="V254" s="138">
        <f t="shared" si="109"/>
        <v>26.771850324999999</v>
      </c>
      <c r="W254" s="529"/>
      <c r="X254" s="110"/>
      <c r="Y254" s="1251"/>
      <c r="Z254" s="1251"/>
      <c r="AA254" s="1251"/>
      <c r="AB254" s="110"/>
      <c r="AC254" s="110"/>
      <c r="AD254" s="110"/>
      <c r="AE254" s="110"/>
      <c r="AF254" s="110"/>
      <c r="AG254" s="110"/>
      <c r="AH254" s="110"/>
      <c r="AI254" s="110"/>
      <c r="AJ254" s="1910"/>
      <c r="AK254" s="1908"/>
      <c r="AL254" s="1909"/>
      <c r="AM254" s="1251"/>
      <c r="AN254" s="1251"/>
      <c r="AO254" s="1251"/>
      <c r="AP254" s="1251"/>
      <c r="AQ254" s="1251"/>
      <c r="AR254" s="1251"/>
      <c r="AS254" s="1251"/>
      <c r="AT254" s="1251"/>
    </row>
    <row r="255" spans="1:46" ht="14.25" customHeight="1">
      <c r="A255" s="108"/>
      <c r="B255" s="1154"/>
      <c r="C255" s="1853"/>
      <c r="D255" s="1854"/>
      <c r="E255" s="1854"/>
      <c r="F255" s="1854"/>
      <c r="G255" s="1855"/>
      <c r="H255" s="1854"/>
      <c r="I255" s="1853"/>
      <c r="J255" s="1853"/>
      <c r="K255" s="1853"/>
      <c r="L255" s="1853"/>
      <c r="M255" s="1853"/>
      <c r="N255" s="1853"/>
      <c r="O255" s="1854"/>
      <c r="P255" s="1855"/>
      <c r="Q255" s="1853"/>
      <c r="R255" s="126"/>
      <c r="S255" s="529"/>
      <c r="T255" s="139">
        <f t="shared" si="110"/>
        <v>9</v>
      </c>
      <c r="U255" s="394">
        <f t="shared" si="108"/>
        <v>0.99990000000000001</v>
      </c>
      <c r="V255" s="138">
        <f t="shared" si="109"/>
        <v>28.346665049999999</v>
      </c>
      <c r="W255" s="529"/>
      <c r="X255" s="110"/>
      <c r="Y255" s="1251"/>
      <c r="Z255" s="1251"/>
      <c r="AA255" s="1251"/>
      <c r="AB255" s="110"/>
      <c r="AC255" s="110"/>
      <c r="AD255" s="110"/>
      <c r="AE255" s="110"/>
      <c r="AF255" s="110"/>
      <c r="AG255" s="110"/>
      <c r="AH255" s="110"/>
      <c r="AI255" s="110"/>
      <c r="AJ255" s="1910"/>
      <c r="AK255" s="1908"/>
      <c r="AL255" s="1909"/>
      <c r="AM255" s="1251"/>
      <c r="AN255" s="1251"/>
      <c r="AO255" s="1251"/>
      <c r="AP255" s="1251"/>
      <c r="AQ255" s="1251"/>
      <c r="AR255" s="1251"/>
      <c r="AS255" s="1251"/>
      <c r="AT255" s="1251"/>
    </row>
    <row r="256" spans="1:46" ht="14.25" customHeight="1">
      <c r="A256" s="108"/>
      <c r="B256" s="1154"/>
      <c r="C256" s="1853"/>
      <c r="D256" s="1854"/>
      <c r="E256" s="1854"/>
      <c r="F256" s="1854"/>
      <c r="G256" s="1855"/>
      <c r="H256" s="1854"/>
      <c r="I256" s="1853"/>
      <c r="J256" s="1853"/>
      <c r="K256" s="1853"/>
      <c r="L256" s="1853"/>
      <c r="M256" s="1853"/>
      <c r="N256" s="1853"/>
      <c r="O256" s="1854"/>
      <c r="P256" s="1855"/>
      <c r="Q256" s="1853"/>
      <c r="R256" s="126"/>
      <c r="S256" s="529"/>
      <c r="T256" s="139">
        <f t="shared" si="110"/>
        <v>9.5</v>
      </c>
      <c r="U256" s="394">
        <f t="shared" si="108"/>
        <v>1.05545</v>
      </c>
      <c r="V256" s="138">
        <f t="shared" si="109"/>
        <v>29.921479774999998</v>
      </c>
      <c r="W256" s="529"/>
      <c r="X256" s="110"/>
      <c r="Y256" s="1251"/>
      <c r="Z256" s="1251"/>
      <c r="AA256" s="1251"/>
      <c r="AB256" s="110"/>
      <c r="AC256" s="110"/>
      <c r="AD256" s="110"/>
      <c r="AE256" s="110"/>
      <c r="AF256" s="110"/>
      <c r="AG256" s="110"/>
      <c r="AH256" s="110"/>
      <c r="AI256" s="110"/>
      <c r="AJ256" s="1910"/>
      <c r="AK256" s="1908"/>
      <c r="AL256" s="1909"/>
      <c r="AM256" s="1251"/>
      <c r="AN256" s="1251"/>
      <c r="AO256" s="1251"/>
      <c r="AP256" s="1251"/>
      <c r="AQ256" s="1251"/>
      <c r="AR256" s="1251"/>
      <c r="AS256" s="1251"/>
      <c r="AT256" s="1251"/>
    </row>
    <row r="257" spans="1:46" ht="14.25" customHeight="1">
      <c r="A257" s="108"/>
      <c r="B257" s="1154"/>
      <c r="C257" s="1853"/>
      <c r="D257" s="1854"/>
      <c r="E257" s="1854"/>
      <c r="F257" s="1854"/>
      <c r="G257" s="1855"/>
      <c r="H257" s="1854"/>
      <c r="I257" s="1853"/>
      <c r="J257" s="1853"/>
      <c r="K257" s="1853"/>
      <c r="L257" s="1853"/>
      <c r="M257" s="1853"/>
      <c r="N257" s="1853"/>
      <c r="O257" s="1854"/>
      <c r="P257" s="1855"/>
      <c r="Q257" s="1853"/>
      <c r="R257" s="126"/>
      <c r="S257" s="529"/>
      <c r="T257" s="139">
        <f t="shared" si="110"/>
        <v>10</v>
      </c>
      <c r="U257" s="394">
        <f t="shared" si="108"/>
        <v>1.111</v>
      </c>
      <c r="V257" s="138">
        <f t="shared" si="109"/>
        <v>31.496294499999998</v>
      </c>
      <c r="W257" s="529"/>
      <c r="X257" s="110"/>
      <c r="Y257" s="1251"/>
      <c r="Z257" s="1251"/>
      <c r="AA257" s="1251"/>
      <c r="AB257" s="110"/>
      <c r="AC257" s="110"/>
      <c r="AD257" s="110"/>
      <c r="AE257" s="110"/>
      <c r="AF257" s="110"/>
      <c r="AG257" s="110"/>
      <c r="AH257" s="110"/>
      <c r="AI257" s="110"/>
      <c r="AJ257" s="1910"/>
      <c r="AK257" s="1908"/>
      <c r="AL257" s="1909"/>
      <c r="AM257" s="1251"/>
      <c r="AN257" s="1251"/>
      <c r="AO257" s="1251"/>
      <c r="AP257" s="1251"/>
      <c r="AQ257" s="1251"/>
      <c r="AR257" s="1251"/>
      <c r="AS257" s="1251"/>
      <c r="AT257" s="1251"/>
    </row>
    <row r="258" spans="1:46" ht="14.25" customHeight="1">
      <c r="A258" s="108"/>
      <c r="B258" s="1154"/>
      <c r="C258" s="1856"/>
      <c r="D258" s="1856"/>
      <c r="E258" s="1856"/>
      <c r="F258" s="1856"/>
      <c r="G258" s="1856"/>
      <c r="H258" s="1856"/>
      <c r="I258" s="1857"/>
      <c r="J258" s="1858"/>
      <c r="K258" s="1859"/>
      <c r="L258" s="409"/>
      <c r="M258" s="409"/>
      <c r="N258" s="1154"/>
      <c r="O258" s="1859"/>
      <c r="P258" s="1857"/>
      <c r="Q258" s="1857"/>
      <c r="R258" s="529"/>
      <c r="S258" s="529"/>
      <c r="T258" s="139">
        <f t="shared" si="110"/>
        <v>10.5</v>
      </c>
      <c r="U258" s="394">
        <f t="shared" si="108"/>
        <v>1.16655</v>
      </c>
      <c r="V258" s="138">
        <f t="shared" si="109"/>
        <v>33.071109225000001</v>
      </c>
      <c r="W258" s="141"/>
      <c r="X258" s="110"/>
      <c r="Y258" s="1251"/>
      <c r="Z258" s="1251"/>
      <c r="AA258" s="1251"/>
      <c r="AB258" s="110"/>
      <c r="AC258" s="110"/>
      <c r="AD258" s="110"/>
      <c r="AE258" s="110"/>
      <c r="AF258" s="110"/>
      <c r="AG258" s="110"/>
      <c r="AH258" s="110"/>
      <c r="AI258" s="110"/>
      <c r="AJ258" s="1910"/>
      <c r="AK258" s="1908"/>
      <c r="AL258" s="1909"/>
      <c r="AM258" s="1251"/>
      <c r="AN258" s="1251"/>
      <c r="AO258" s="1251"/>
      <c r="AP258" s="1251"/>
      <c r="AQ258" s="1251"/>
      <c r="AR258" s="1251"/>
      <c r="AS258" s="1251"/>
      <c r="AT258" s="1251"/>
    </row>
    <row r="259" spans="1:46" ht="14.25" customHeight="1">
      <c r="A259" s="601"/>
      <c r="B259" s="721"/>
      <c r="C259" s="1848"/>
      <c r="D259" s="1848"/>
      <c r="E259" s="1848"/>
      <c r="F259" s="1848"/>
      <c r="G259" s="1848"/>
      <c r="H259" s="1848"/>
      <c r="I259" s="752"/>
      <c r="J259" s="1849"/>
      <c r="K259" s="1850"/>
      <c r="L259" s="2212"/>
      <c r="M259" s="2212"/>
      <c r="N259" s="721"/>
      <c r="O259" s="1850"/>
      <c r="P259" s="752"/>
      <c r="Q259" s="1851"/>
      <c r="R259" s="744"/>
      <c r="S259" s="2212"/>
      <c r="T259" s="139">
        <f t="shared" si="110"/>
        <v>11</v>
      </c>
      <c r="U259" s="394">
        <f t="shared" si="108"/>
        <v>1.2221</v>
      </c>
      <c r="V259" s="138">
        <f t="shared" si="109"/>
        <v>34.645923949999997</v>
      </c>
      <c r="W259" s="141"/>
      <c r="X259" s="110"/>
      <c r="Y259" s="1251"/>
      <c r="Z259" s="1251"/>
      <c r="AA259" s="1251"/>
      <c r="AB259" s="110"/>
      <c r="AC259" s="110"/>
      <c r="AD259" s="110"/>
      <c r="AE259" s="110"/>
      <c r="AF259" s="110"/>
      <c r="AG259" s="110"/>
      <c r="AH259" s="110"/>
      <c r="AI259" s="110"/>
      <c r="AJ259" s="1910"/>
      <c r="AK259" s="1908"/>
      <c r="AL259" s="1909"/>
      <c r="AM259" s="1251"/>
      <c r="AN259" s="1251"/>
      <c r="AO259" s="1251"/>
      <c r="AP259" s="1251"/>
      <c r="AQ259" s="1251"/>
      <c r="AR259" s="1251"/>
      <c r="AS259" s="1251"/>
      <c r="AT259" s="1251"/>
    </row>
    <row r="260" spans="1:46" ht="14.25" customHeight="1">
      <c r="A260" s="601"/>
      <c r="B260" s="1154"/>
      <c r="C260" s="1154"/>
      <c r="D260" s="1154"/>
      <c r="E260" s="1154"/>
      <c r="F260" s="1154"/>
      <c r="G260" s="1154"/>
      <c r="H260" s="1154"/>
      <c r="I260" s="1154"/>
      <c r="J260" s="1154"/>
      <c r="K260" s="1154"/>
      <c r="L260" s="1154"/>
      <c r="M260" s="1154"/>
      <c r="N260" s="1154"/>
      <c r="O260" s="1154"/>
      <c r="P260" s="1154"/>
      <c r="Q260" s="1154"/>
      <c r="R260" s="1154"/>
      <c r="S260" s="1154"/>
      <c r="T260" s="139">
        <f t="shared" si="110"/>
        <v>11.5</v>
      </c>
      <c r="U260" s="394">
        <f t="shared" ref="U260:U261" si="111">T$196*T260</f>
        <v>1.27765</v>
      </c>
      <c r="V260" s="138">
        <f t="shared" si="109"/>
        <v>36.220738675</v>
      </c>
      <c r="W260" s="141"/>
      <c r="X260" s="110"/>
      <c r="Y260" s="1251"/>
      <c r="Z260" s="1251"/>
      <c r="AA260" s="1251"/>
      <c r="AB260" s="110"/>
      <c r="AC260" s="110"/>
      <c r="AD260" s="110"/>
      <c r="AE260" s="110"/>
      <c r="AF260" s="110"/>
      <c r="AG260" s="110"/>
      <c r="AH260" s="110"/>
      <c r="AI260" s="110"/>
      <c r="AJ260" s="1908"/>
      <c r="AK260" s="1908"/>
      <c r="AL260" s="1909"/>
      <c r="AM260" s="1251"/>
      <c r="AN260" s="1251"/>
      <c r="AO260" s="1251"/>
      <c r="AP260" s="1251"/>
      <c r="AQ260" s="1251"/>
      <c r="AR260" s="1251"/>
      <c r="AS260" s="1251"/>
      <c r="AT260" s="1251"/>
    </row>
    <row r="261" spans="1:46" ht="14.25" customHeight="1">
      <c r="A261" s="601"/>
      <c r="B261" s="1154"/>
      <c r="C261" s="1154"/>
      <c r="D261" s="1154"/>
      <c r="E261" s="1154"/>
      <c r="F261" s="1154"/>
      <c r="G261" s="1154"/>
      <c r="H261" s="1154"/>
      <c r="I261" s="1154"/>
      <c r="J261" s="1154"/>
      <c r="K261" s="1154"/>
      <c r="L261" s="1154"/>
      <c r="M261" s="1154"/>
      <c r="N261" s="1154"/>
      <c r="O261" s="1154"/>
      <c r="P261" s="1154"/>
      <c r="Q261" s="1154"/>
      <c r="R261" s="1154"/>
      <c r="S261" s="1154"/>
      <c r="T261" s="139">
        <f t="shared" si="110"/>
        <v>12</v>
      </c>
      <c r="U261" s="394">
        <f t="shared" si="111"/>
        <v>1.3332000000000002</v>
      </c>
      <c r="V261" s="138">
        <f t="shared" si="109"/>
        <v>37.795553400000003</v>
      </c>
      <c r="W261" s="141"/>
      <c r="X261" s="110"/>
      <c r="Y261" s="1251"/>
      <c r="Z261" s="1251"/>
      <c r="AA261" s="1251"/>
      <c r="AB261" s="110"/>
      <c r="AC261" s="110"/>
      <c r="AD261" s="110"/>
      <c r="AE261" s="110"/>
      <c r="AF261" s="110"/>
      <c r="AG261" s="110"/>
      <c r="AH261" s="110"/>
      <c r="AI261" s="110"/>
      <c r="AJ261" s="1908"/>
      <c r="AK261" s="1908"/>
      <c r="AL261" s="1909"/>
      <c r="AM261" s="1251"/>
      <c r="AN261" s="1251"/>
      <c r="AO261" s="1251"/>
      <c r="AP261" s="1251"/>
      <c r="AQ261" s="1251"/>
      <c r="AR261" s="1251"/>
      <c r="AS261" s="1251"/>
      <c r="AT261" s="1251"/>
    </row>
    <row r="262" spans="1:46" ht="14.25" customHeight="1">
      <c r="A262" s="601"/>
      <c r="B262" s="1154"/>
      <c r="C262" s="1154"/>
      <c r="D262" s="1154"/>
      <c r="E262" s="1154"/>
      <c r="F262" s="1154"/>
      <c r="G262" s="1154"/>
      <c r="H262" s="1154"/>
      <c r="I262" s="1154"/>
      <c r="J262" s="1154"/>
      <c r="K262" s="1154"/>
      <c r="L262" s="1154"/>
      <c r="M262" s="1154"/>
      <c r="N262" s="1154"/>
      <c r="O262" s="1154"/>
      <c r="P262" s="1154"/>
      <c r="Q262" s="1154"/>
      <c r="R262" s="1154"/>
      <c r="S262" s="1154"/>
      <c r="T262" s="139">
        <f t="shared" si="110"/>
        <v>12.5</v>
      </c>
      <c r="U262" s="394">
        <f t="shared" ref="U262:U280" si="112">T$196*T262</f>
        <v>1.3887500000000002</v>
      </c>
      <c r="V262" s="138">
        <f t="shared" si="109"/>
        <v>39.370368125000006</v>
      </c>
      <c r="W262" s="141"/>
      <c r="X262" s="142"/>
      <c r="Y262" s="1251"/>
      <c r="Z262" s="1251"/>
      <c r="AA262" s="1251"/>
      <c r="AB262" s="142"/>
      <c r="AC262" s="142"/>
      <c r="AD262" s="142"/>
      <c r="AE262" s="142"/>
      <c r="AF262" s="142"/>
      <c r="AG262" s="142"/>
      <c r="AH262" s="142"/>
      <c r="AI262" s="142"/>
      <c r="AJ262" s="1908"/>
      <c r="AK262" s="1908"/>
      <c r="AL262" s="1909"/>
      <c r="AM262" s="1251"/>
      <c r="AN262" s="1251"/>
      <c r="AO262" s="1251"/>
      <c r="AP262" s="1251"/>
      <c r="AQ262" s="1251"/>
      <c r="AR262" s="1251"/>
      <c r="AS262" s="1251"/>
      <c r="AT262" s="1251"/>
    </row>
    <row r="263" spans="1:46" ht="14.25" customHeight="1">
      <c r="A263" s="601"/>
      <c r="B263" s="1154"/>
      <c r="C263" s="1154"/>
      <c r="D263" s="1154"/>
      <c r="E263" s="1154"/>
      <c r="F263" s="1154"/>
      <c r="G263" s="1154"/>
      <c r="H263" s="1154"/>
      <c r="I263" s="1154"/>
      <c r="J263" s="1154"/>
      <c r="K263" s="1154"/>
      <c r="L263" s="1154"/>
      <c r="M263" s="1154"/>
      <c r="N263" s="1154"/>
      <c r="O263" s="1154"/>
      <c r="P263" s="1154"/>
      <c r="Q263" s="1154"/>
      <c r="R263" s="1154"/>
      <c r="S263" s="1154"/>
      <c r="T263" s="139">
        <f t="shared" si="110"/>
        <v>13</v>
      </c>
      <c r="U263" s="394">
        <f t="shared" si="112"/>
        <v>1.4443000000000001</v>
      </c>
      <c r="V263" s="138">
        <f t="shared" si="109"/>
        <v>40.945182850000002</v>
      </c>
      <c r="W263" s="141"/>
      <c r="X263" s="142"/>
      <c r="Y263" s="1251"/>
      <c r="Z263" s="1251"/>
      <c r="AA263" s="1251"/>
      <c r="AB263" s="142"/>
      <c r="AC263" s="142"/>
      <c r="AD263" s="142"/>
      <c r="AE263" s="142"/>
      <c r="AF263" s="142"/>
      <c r="AG263" s="142"/>
      <c r="AH263" s="142"/>
      <c r="AI263" s="142"/>
      <c r="AJ263" s="1908"/>
      <c r="AK263" s="1908"/>
      <c r="AL263" s="1909"/>
      <c r="AM263" s="1251"/>
      <c r="AN263" s="1251"/>
      <c r="AO263" s="1251"/>
      <c r="AP263" s="1251"/>
      <c r="AQ263" s="1251"/>
      <c r="AR263" s="1251"/>
      <c r="AS263" s="1251"/>
      <c r="AT263" s="1251"/>
    </row>
    <row r="264" spans="1:46" ht="14.25" customHeight="1">
      <c r="A264" s="601"/>
      <c r="B264" s="1154"/>
      <c r="C264" s="1154"/>
      <c r="D264" s="1154"/>
      <c r="E264" s="1154"/>
      <c r="F264" s="1154"/>
      <c r="G264" s="1154"/>
      <c r="H264" s="1154"/>
      <c r="I264" s="1154"/>
      <c r="J264" s="1154"/>
      <c r="K264" s="1154"/>
      <c r="L264" s="1154"/>
      <c r="M264" s="1154"/>
      <c r="N264" s="1154"/>
      <c r="O264" s="1154"/>
      <c r="P264" s="1154"/>
      <c r="Q264" s="1154"/>
      <c r="R264" s="1154"/>
      <c r="S264" s="1154"/>
      <c r="T264" s="139">
        <f t="shared" ref="T264:T279" si="113">T263+0.5</f>
        <v>13.5</v>
      </c>
      <c r="U264" s="394">
        <f t="shared" si="112"/>
        <v>1.4998500000000001</v>
      </c>
      <c r="V264" s="138">
        <f t="shared" si="109"/>
        <v>42.519997575000005</v>
      </c>
      <c r="W264" s="141"/>
      <c r="X264" s="142"/>
      <c r="Y264" s="1251"/>
      <c r="Z264" s="1251"/>
      <c r="AA264" s="1251"/>
      <c r="AB264" s="142"/>
      <c r="AC264" s="142"/>
      <c r="AD264" s="142"/>
      <c r="AE264" s="142"/>
      <c r="AF264" s="142"/>
      <c r="AG264" s="142"/>
      <c r="AH264" s="142"/>
      <c r="AI264" s="142"/>
      <c r="AJ264" s="1908"/>
      <c r="AK264" s="1908"/>
      <c r="AL264" s="1909"/>
      <c r="AM264" s="1251"/>
      <c r="AN264" s="1251"/>
      <c r="AO264" s="1251"/>
      <c r="AP264" s="1251"/>
      <c r="AQ264" s="1251"/>
      <c r="AR264" s="1251"/>
      <c r="AS264" s="1251"/>
      <c r="AT264" s="1251"/>
    </row>
    <row r="265" spans="1:46" ht="14.25" customHeight="1">
      <c r="A265" s="601"/>
      <c r="B265" s="1154"/>
      <c r="C265" s="1154"/>
      <c r="D265" s="1154"/>
      <c r="E265" s="1154"/>
      <c r="F265" s="1154"/>
      <c r="G265" s="1154"/>
      <c r="H265" s="1154"/>
      <c r="I265" s="1154"/>
      <c r="J265" s="1154"/>
      <c r="K265" s="1154"/>
      <c r="L265" s="1154"/>
      <c r="M265" s="1154"/>
      <c r="N265" s="1154"/>
      <c r="O265" s="1154"/>
      <c r="P265" s="1154"/>
      <c r="Q265" s="1154"/>
      <c r="R265" s="1154"/>
      <c r="S265" s="1154"/>
      <c r="T265" s="139">
        <f t="shared" si="113"/>
        <v>14</v>
      </c>
      <c r="U265" s="394">
        <f t="shared" si="112"/>
        <v>1.5554000000000001</v>
      </c>
      <c r="V265" s="138">
        <f t="shared" si="109"/>
        <v>44.094812300000001</v>
      </c>
      <c r="W265" s="141"/>
      <c r="X265" s="142"/>
      <c r="Y265" s="1251"/>
      <c r="Z265" s="1251"/>
      <c r="AA265" s="1251"/>
      <c r="AB265" s="142"/>
      <c r="AC265" s="142"/>
      <c r="AD265" s="142"/>
      <c r="AE265" s="142"/>
      <c r="AF265" s="142"/>
      <c r="AG265" s="142"/>
      <c r="AH265" s="142"/>
      <c r="AI265" s="142"/>
      <c r="AJ265" s="1908"/>
      <c r="AK265" s="1908"/>
      <c r="AL265" s="1909"/>
      <c r="AM265" s="1251"/>
      <c r="AN265" s="1251"/>
      <c r="AO265" s="1251"/>
      <c r="AP265" s="1251"/>
      <c r="AQ265" s="1251"/>
      <c r="AR265" s="1251"/>
      <c r="AS265" s="1251"/>
      <c r="AT265" s="1251"/>
    </row>
    <row r="266" spans="1:46" ht="14.25" customHeight="1">
      <c r="A266" s="601"/>
      <c r="B266" s="1154"/>
      <c r="C266" s="1154"/>
      <c r="D266" s="1154"/>
      <c r="E266" s="1154"/>
      <c r="F266" s="1154"/>
      <c r="G266" s="1154"/>
      <c r="H266" s="1154"/>
      <c r="I266" s="1154"/>
      <c r="J266" s="1154"/>
      <c r="K266" s="1154"/>
      <c r="L266" s="1154"/>
      <c r="M266" s="1154"/>
      <c r="N266" s="1154"/>
      <c r="O266" s="1154"/>
      <c r="P266" s="1154"/>
      <c r="Q266" s="1154"/>
      <c r="R266" s="1154"/>
      <c r="S266" s="1154"/>
      <c r="T266" s="139">
        <f t="shared" si="113"/>
        <v>14.5</v>
      </c>
      <c r="U266" s="394">
        <f t="shared" si="112"/>
        <v>1.6109500000000001</v>
      </c>
      <c r="V266" s="138">
        <f t="shared" si="109"/>
        <v>45.669627025000004</v>
      </c>
      <c r="W266" s="141"/>
      <c r="X266" s="142"/>
      <c r="Y266" s="1251"/>
      <c r="Z266" s="1251"/>
      <c r="AA266" s="1251"/>
      <c r="AB266" s="142"/>
      <c r="AC266" s="142"/>
      <c r="AD266" s="142"/>
      <c r="AE266" s="142"/>
      <c r="AF266" s="142"/>
      <c r="AG266" s="142"/>
      <c r="AH266" s="142"/>
      <c r="AI266" s="142"/>
      <c r="AJ266" s="1926" t="s">
        <v>378</v>
      </c>
      <c r="AK266" s="1910"/>
      <c r="AL266" s="1910"/>
      <c r="AM266" s="1251"/>
      <c r="AN266" s="1251"/>
      <c r="AO266" s="1251"/>
      <c r="AP266" s="1251"/>
      <c r="AQ266" s="1251"/>
      <c r="AR266" s="1251"/>
      <c r="AS266" s="1251"/>
      <c r="AT266" s="1251"/>
    </row>
    <row r="267" spans="1:46" ht="14.25" customHeight="1">
      <c r="A267" s="601"/>
      <c r="B267" s="1154"/>
      <c r="C267" s="1154"/>
      <c r="D267" s="1154"/>
      <c r="E267" s="1154"/>
      <c r="F267" s="1154"/>
      <c r="G267" s="1154"/>
      <c r="H267" s="1154"/>
      <c r="I267" s="1154"/>
      <c r="J267" s="1154"/>
      <c r="K267" s="1154"/>
      <c r="L267" s="1154"/>
      <c r="M267" s="1154"/>
      <c r="N267" s="1154"/>
      <c r="O267" s="1154"/>
      <c r="P267" s="1154"/>
      <c r="Q267" s="1154"/>
      <c r="R267" s="1154"/>
      <c r="S267" s="1154"/>
      <c r="T267" s="139">
        <f t="shared" si="113"/>
        <v>15</v>
      </c>
      <c r="U267" s="394">
        <f t="shared" si="112"/>
        <v>1.6665000000000001</v>
      </c>
      <c r="V267" s="138">
        <f t="shared" si="109"/>
        <v>47.24444175</v>
      </c>
      <c r="W267" s="141"/>
      <c r="X267" s="142"/>
      <c r="Y267" s="1251"/>
      <c r="Z267" s="1251"/>
      <c r="AA267" s="1251"/>
      <c r="AB267" s="142"/>
      <c r="AC267" s="142"/>
      <c r="AD267" s="142"/>
      <c r="AE267" s="142"/>
      <c r="AF267" s="142"/>
      <c r="AG267" s="142"/>
      <c r="AH267" s="142"/>
      <c r="AI267" s="142"/>
      <c r="AJ267" s="1926"/>
      <c r="AK267" s="1910"/>
      <c r="AL267" s="1910"/>
      <c r="AM267" s="1251"/>
      <c r="AN267" s="1251"/>
      <c r="AO267" s="1251"/>
      <c r="AP267" s="1251"/>
      <c r="AQ267" s="1251"/>
      <c r="AR267" s="1251"/>
      <c r="AS267" s="1251"/>
      <c r="AT267" s="1251"/>
    </row>
    <row r="268" spans="1:46" ht="14.25" customHeight="1">
      <c r="A268" s="601"/>
      <c r="B268" s="1154"/>
      <c r="C268" s="1154"/>
      <c r="D268" s="1154"/>
      <c r="E268" s="1154"/>
      <c r="F268" s="1154"/>
      <c r="G268" s="1154"/>
      <c r="H268" s="1154"/>
      <c r="I268" s="1154"/>
      <c r="J268" s="1154"/>
      <c r="K268" s="1154"/>
      <c r="L268" s="1154"/>
      <c r="M268" s="1154"/>
      <c r="N268" s="1154"/>
      <c r="O268" s="1154"/>
      <c r="P268" s="1154"/>
      <c r="Q268" s="1154"/>
      <c r="R268" s="1154"/>
      <c r="S268" s="1154"/>
      <c r="T268" s="139">
        <f t="shared" si="113"/>
        <v>15.5</v>
      </c>
      <c r="U268" s="394">
        <f t="shared" si="112"/>
        <v>1.7220500000000001</v>
      </c>
      <c r="V268" s="138">
        <f t="shared" si="109"/>
        <v>48.819256475000003</v>
      </c>
      <c r="W268" s="141"/>
      <c r="X268" s="142"/>
      <c r="Y268" s="1251"/>
      <c r="Z268" s="1251"/>
      <c r="AA268" s="1251"/>
      <c r="AB268" s="142"/>
      <c r="AC268" s="142"/>
      <c r="AD268" s="142"/>
      <c r="AE268" s="142"/>
      <c r="AF268" s="142"/>
      <c r="AG268" s="142"/>
      <c r="AH268" s="142"/>
      <c r="AI268" s="142"/>
      <c r="AJ268" s="1927"/>
      <c r="AK268" s="1908"/>
      <c r="AL268" s="1909"/>
      <c r="AM268" s="1251"/>
      <c r="AN268" s="1251"/>
      <c r="AO268" s="1251"/>
      <c r="AP268" s="1251"/>
      <c r="AQ268" s="1251"/>
      <c r="AR268" s="1251"/>
      <c r="AS268" s="1251"/>
      <c r="AT268" s="1251"/>
    </row>
    <row r="269" spans="1:46" ht="14.25" customHeight="1">
      <c r="A269" s="601"/>
      <c r="B269" s="1154"/>
      <c r="C269" s="1154"/>
      <c r="D269" s="1154"/>
      <c r="E269" s="1154"/>
      <c r="F269" s="1154"/>
      <c r="G269" s="1154"/>
      <c r="H269" s="1154"/>
      <c r="I269" s="1154"/>
      <c r="J269" s="1154"/>
      <c r="K269" s="1154"/>
      <c r="L269" s="1154"/>
      <c r="M269" s="1154"/>
      <c r="N269" s="1154"/>
      <c r="O269" s="1154"/>
      <c r="P269" s="1154"/>
      <c r="Q269" s="1154"/>
      <c r="R269" s="1154"/>
      <c r="S269" s="1154"/>
      <c r="T269" s="139">
        <f t="shared" si="113"/>
        <v>16</v>
      </c>
      <c r="U269" s="394">
        <f t="shared" si="112"/>
        <v>1.7776000000000001</v>
      </c>
      <c r="V269" s="138">
        <f t="shared" si="109"/>
        <v>50.394071199999999</v>
      </c>
      <c r="W269" s="141"/>
      <c r="X269" s="142"/>
      <c r="Y269" s="142"/>
      <c r="Z269" s="142"/>
      <c r="AA269" s="142"/>
      <c r="AB269" s="142"/>
      <c r="AC269" s="142"/>
      <c r="AD269" s="142"/>
      <c r="AE269" s="142"/>
      <c r="AF269" s="142"/>
      <c r="AG269" s="142"/>
      <c r="AH269" s="142"/>
      <c r="AI269" s="142"/>
      <c r="AJ269" s="1927"/>
      <c r="AK269" s="1908"/>
      <c r="AL269" s="1909"/>
      <c r="AM269" s="1251"/>
      <c r="AN269" s="1251"/>
      <c r="AO269" s="1251"/>
      <c r="AP269" s="1251"/>
      <c r="AQ269" s="1251"/>
      <c r="AR269" s="1251"/>
      <c r="AS269" s="1251"/>
      <c r="AT269" s="1251"/>
    </row>
    <row r="270" spans="1:46" ht="14.25" customHeight="1">
      <c r="A270" s="601"/>
      <c r="B270" s="1154"/>
      <c r="C270" s="1154"/>
      <c r="D270" s="1154"/>
      <c r="E270" s="1154"/>
      <c r="F270" s="1154"/>
      <c r="G270" s="1154"/>
      <c r="H270" s="1154"/>
      <c r="I270" s="1154"/>
      <c r="J270" s="1154"/>
      <c r="K270" s="1154"/>
      <c r="L270" s="1154"/>
      <c r="M270" s="1154"/>
      <c r="N270" s="1154"/>
      <c r="O270" s="1154"/>
      <c r="P270" s="1154"/>
      <c r="Q270" s="1154"/>
      <c r="R270" s="1154"/>
      <c r="S270" s="1154"/>
      <c r="T270" s="139">
        <f t="shared" si="113"/>
        <v>16.5</v>
      </c>
      <c r="U270" s="394">
        <f t="shared" si="112"/>
        <v>1.8331500000000001</v>
      </c>
      <c r="V270" s="138">
        <f t="shared" si="109"/>
        <v>51.968885925000002</v>
      </c>
      <c r="W270" s="141"/>
      <c r="X270" s="142"/>
      <c r="Y270" s="142"/>
      <c r="Z270" s="142"/>
      <c r="AA270" s="142"/>
      <c r="AB270" s="142"/>
      <c r="AC270" s="142"/>
      <c r="AD270" s="142"/>
      <c r="AE270" s="142"/>
      <c r="AF270" s="142"/>
      <c r="AG270" s="142"/>
      <c r="AH270" s="142"/>
      <c r="AI270" s="142"/>
      <c r="AJ270" s="298">
        <f>N230*AL270/1000</f>
        <v>39.47</v>
      </c>
      <c r="AK270" s="298">
        <f>AJ270+(100-N230)</f>
        <v>89.47</v>
      </c>
      <c r="AL270" s="1251">
        <v>789.4</v>
      </c>
      <c r="AM270" s="1251"/>
      <c r="AN270" s="1251"/>
      <c r="AO270" s="1251"/>
      <c r="AP270" s="1251"/>
      <c r="AQ270" s="1251"/>
      <c r="AR270" s="1251"/>
      <c r="AS270" s="1251"/>
      <c r="AT270" s="1251"/>
    </row>
    <row r="271" spans="1:46" ht="14.25" customHeight="1">
      <c r="A271" s="601"/>
      <c r="B271" s="1154"/>
      <c r="C271" s="1154"/>
      <c r="D271" s="1154"/>
      <c r="E271" s="1154"/>
      <c r="F271" s="1154"/>
      <c r="G271" s="1154"/>
      <c r="H271" s="1154"/>
      <c r="I271" s="1154"/>
      <c r="J271" s="1154"/>
      <c r="K271" s="1154"/>
      <c r="L271" s="1154"/>
      <c r="M271" s="1154"/>
      <c r="N271" s="1154"/>
      <c r="O271" s="1154"/>
      <c r="P271" s="1154"/>
      <c r="Q271" s="1154"/>
      <c r="R271" s="1154"/>
      <c r="S271" s="1154"/>
      <c r="T271" s="139">
        <f t="shared" si="113"/>
        <v>17</v>
      </c>
      <c r="U271" s="394">
        <f t="shared" si="112"/>
        <v>1.8887</v>
      </c>
      <c r="V271" s="138">
        <f t="shared" si="109"/>
        <v>53.543700649999998</v>
      </c>
      <c r="W271" s="141"/>
      <c r="X271" s="142"/>
      <c r="Y271" s="142"/>
      <c r="Z271" s="142"/>
      <c r="AA271" s="142"/>
      <c r="AB271" s="142"/>
      <c r="AC271" s="142"/>
      <c r="AD271" s="142"/>
      <c r="AE271" s="142"/>
      <c r="AF271" s="142"/>
      <c r="AG271" s="142"/>
      <c r="AH271" s="142"/>
      <c r="AI271" s="142"/>
      <c r="AJ271" s="298">
        <f>N230*AL270/1000</f>
        <v>39.47</v>
      </c>
      <c r="AK271" s="298">
        <f>AJ271+(100-N230)</f>
        <v>89.47</v>
      </c>
      <c r="AL271" s="298">
        <f>AL272/(N230+0.00000001)</f>
        <v>0.882306918343713</v>
      </c>
      <c r="AM271" s="1251"/>
      <c r="AN271" s="1251"/>
      <c r="AO271" s="1251"/>
      <c r="AP271" s="1251"/>
      <c r="AQ271" s="1251"/>
      <c r="AR271" s="1251"/>
      <c r="AS271" s="1251"/>
      <c r="AT271" s="1251"/>
    </row>
    <row r="272" spans="1:46" ht="14.25" customHeight="1">
      <c r="A272" s="601"/>
      <c r="B272" s="1154"/>
      <c r="C272" s="1154"/>
      <c r="D272" s="1154"/>
      <c r="E272" s="1154"/>
      <c r="F272" s="1154"/>
      <c r="G272" s="1154"/>
      <c r="H272" s="1154"/>
      <c r="I272" s="1154"/>
      <c r="J272" s="1154"/>
      <c r="K272" s="1154"/>
      <c r="L272" s="1154"/>
      <c r="M272" s="1154"/>
      <c r="N272" s="1154"/>
      <c r="O272" s="1154"/>
      <c r="P272" s="1154"/>
      <c r="Q272" s="1154"/>
      <c r="R272" s="1154"/>
      <c r="S272" s="1154"/>
      <c r="T272" s="139">
        <f t="shared" si="113"/>
        <v>17.5</v>
      </c>
      <c r="U272" s="394">
        <f t="shared" si="112"/>
        <v>1.94425</v>
      </c>
      <c r="V272" s="138">
        <f t="shared" si="109"/>
        <v>55.118515375000001</v>
      </c>
      <c r="W272" s="141"/>
      <c r="X272" s="142"/>
      <c r="Y272" s="142"/>
      <c r="Z272" s="142"/>
      <c r="AA272" s="142"/>
      <c r="AB272" s="142"/>
      <c r="AC272" s="142"/>
      <c r="AD272" s="142"/>
      <c r="AE272" s="142"/>
      <c r="AF272" s="142"/>
      <c r="AG272" s="142"/>
      <c r="AH272" s="142"/>
      <c r="AI272" s="142"/>
      <c r="AJ272" s="298">
        <f>M230*AL270/1000</f>
        <v>44.734999501923895</v>
      </c>
      <c r="AK272" s="298">
        <f>AJ272+(100-N230)</f>
        <v>94.734999501923895</v>
      </c>
      <c r="AL272" s="303">
        <f>100*AJ271/AK271</f>
        <v>44.115345926008722</v>
      </c>
      <c r="AM272" s="1251"/>
      <c r="AN272" s="1251"/>
      <c r="AO272" s="1251"/>
      <c r="AP272" s="1251"/>
      <c r="AQ272" s="1251"/>
      <c r="AR272" s="1251"/>
      <c r="AS272" s="1251"/>
      <c r="AT272" s="1251"/>
    </row>
    <row r="273" spans="1:46" ht="14.25" customHeight="1">
      <c r="A273" s="601"/>
      <c r="B273" s="1154"/>
      <c r="C273" s="1154"/>
      <c r="D273" s="1154"/>
      <c r="E273" s="1154"/>
      <c r="F273" s="1154"/>
      <c r="G273" s="1154"/>
      <c r="H273" s="1154"/>
      <c r="I273" s="1154"/>
      <c r="J273" s="1154"/>
      <c r="K273" s="1154"/>
      <c r="L273" s="1154"/>
      <c r="M273" s="1154"/>
      <c r="N273" s="1154"/>
      <c r="O273" s="1154"/>
      <c r="P273" s="1154"/>
      <c r="Q273" s="1154"/>
      <c r="R273" s="1154"/>
      <c r="S273" s="1154"/>
      <c r="T273" s="139">
        <f t="shared" si="113"/>
        <v>18</v>
      </c>
      <c r="U273" s="394">
        <f t="shared" si="112"/>
        <v>1.9998</v>
      </c>
      <c r="V273" s="138">
        <f t="shared" si="109"/>
        <v>56.693330099999997</v>
      </c>
      <c r="W273" s="141"/>
      <c r="X273" s="142"/>
      <c r="Y273" s="142"/>
      <c r="Z273" s="142"/>
      <c r="AA273" s="142"/>
      <c r="AB273" s="142"/>
      <c r="AC273" s="142"/>
      <c r="AD273" s="142"/>
      <c r="AE273" s="142"/>
      <c r="AF273" s="142"/>
      <c r="AG273" s="142"/>
      <c r="AH273" s="142"/>
      <c r="AI273" s="142"/>
      <c r="AJ273" s="1927"/>
      <c r="AK273" s="1908"/>
      <c r="AL273" s="1909"/>
      <c r="AM273" s="1251"/>
      <c r="AN273" s="1251"/>
      <c r="AO273" s="1251"/>
      <c r="AP273" s="1251"/>
      <c r="AQ273" s="1251"/>
      <c r="AR273" s="1251"/>
      <c r="AS273" s="1251"/>
      <c r="AT273" s="1251"/>
    </row>
    <row r="274" spans="1:46" ht="14.25" customHeight="1">
      <c r="A274" s="601"/>
      <c r="B274" s="1154"/>
      <c r="C274" s="1154"/>
      <c r="D274" s="1154"/>
      <c r="E274" s="1154"/>
      <c r="F274" s="1154"/>
      <c r="G274" s="1154"/>
      <c r="H274" s="1154"/>
      <c r="I274" s="1154"/>
      <c r="J274" s="1154"/>
      <c r="K274" s="1154"/>
      <c r="L274" s="1154"/>
      <c r="M274" s="1154"/>
      <c r="N274" s="1154"/>
      <c r="O274" s="1154"/>
      <c r="P274" s="1154"/>
      <c r="Q274" s="1154"/>
      <c r="R274" s="1154"/>
      <c r="S274" s="1154"/>
      <c r="T274" s="139">
        <f t="shared" si="113"/>
        <v>18.5</v>
      </c>
      <c r="U274" s="394">
        <f t="shared" si="112"/>
        <v>2.0553500000000002</v>
      </c>
      <c r="V274" s="138">
        <f t="shared" si="109"/>
        <v>58.268144825000007</v>
      </c>
      <c r="W274" s="141"/>
      <c r="X274" s="142"/>
      <c r="Y274" s="142"/>
      <c r="Z274" s="142"/>
      <c r="AA274" s="142"/>
      <c r="AB274" s="142"/>
      <c r="AC274" s="142"/>
      <c r="AD274" s="142"/>
      <c r="AE274" s="142"/>
      <c r="AF274" s="142"/>
      <c r="AG274" s="142"/>
      <c r="AH274" s="142"/>
      <c r="AI274" s="142"/>
      <c r="AJ274" s="1927"/>
      <c r="AK274" s="1908"/>
      <c r="AL274" s="1909"/>
      <c r="AM274" s="1251"/>
      <c r="AN274" s="1251"/>
      <c r="AO274" s="1251"/>
      <c r="AP274" s="1251"/>
      <c r="AQ274" s="1251"/>
      <c r="AR274" s="1251"/>
      <c r="AS274" s="1251"/>
      <c r="AT274" s="1251"/>
    </row>
    <row r="275" spans="1:46" ht="14.25" customHeight="1">
      <c r="A275" s="601"/>
      <c r="B275" s="1154"/>
      <c r="C275" s="1154"/>
      <c r="D275" s="1154"/>
      <c r="E275" s="1154"/>
      <c r="F275" s="1154"/>
      <c r="G275" s="1154"/>
      <c r="H275" s="1154"/>
      <c r="I275" s="1154"/>
      <c r="J275" s="1154"/>
      <c r="K275" s="1154"/>
      <c r="L275" s="1154"/>
      <c r="M275" s="1154"/>
      <c r="N275" s="1154"/>
      <c r="O275" s="1154"/>
      <c r="P275" s="1154"/>
      <c r="Q275" s="1154"/>
      <c r="R275" s="1154"/>
      <c r="S275" s="1154"/>
      <c r="T275" s="139">
        <f>T274+0.5</f>
        <v>19</v>
      </c>
      <c r="U275" s="394">
        <f t="shared" si="112"/>
        <v>2.1109</v>
      </c>
      <c r="V275" s="138">
        <f t="shared" si="109"/>
        <v>59.842959549999996</v>
      </c>
      <c r="W275" s="141"/>
      <c r="X275" s="142"/>
      <c r="Y275" s="142"/>
      <c r="Z275" s="142"/>
      <c r="AA275" s="142"/>
      <c r="AB275" s="142"/>
      <c r="AC275" s="142"/>
      <c r="AD275" s="142"/>
      <c r="AE275" s="142"/>
      <c r="AF275" s="142"/>
      <c r="AG275" s="142"/>
      <c r="AH275" s="142"/>
      <c r="AI275" s="142"/>
      <c r="AJ275" s="1927"/>
      <c r="AK275" s="1908"/>
      <c r="AL275" s="1909"/>
      <c r="AM275" s="1251"/>
      <c r="AN275" s="1251"/>
      <c r="AO275" s="1251"/>
      <c r="AP275" s="1251"/>
      <c r="AQ275" s="1251"/>
      <c r="AR275" s="1251"/>
      <c r="AS275" s="1251"/>
      <c r="AT275" s="1251"/>
    </row>
    <row r="276" spans="1:46" ht="14.25" customHeight="1">
      <c r="A276" s="771"/>
      <c r="B276" s="1154"/>
      <c r="C276" s="1154"/>
      <c r="D276" s="1154"/>
      <c r="E276" s="1154"/>
      <c r="F276" s="1154"/>
      <c r="G276" s="1154"/>
      <c r="H276" s="1154"/>
      <c r="I276" s="1154"/>
      <c r="J276" s="1154"/>
      <c r="K276" s="1154"/>
      <c r="L276" s="1154"/>
      <c r="M276" s="1154"/>
      <c r="N276" s="1154"/>
      <c r="O276" s="1154"/>
      <c r="P276" s="1154"/>
      <c r="Q276" s="1154"/>
      <c r="R276" s="1154"/>
      <c r="S276" s="1154"/>
      <c r="T276" s="139">
        <f t="shared" si="113"/>
        <v>19.5</v>
      </c>
      <c r="U276" s="394">
        <f t="shared" si="112"/>
        <v>2.1664500000000002</v>
      </c>
      <c r="V276" s="138">
        <f t="shared" si="109"/>
        <v>61.417774275000006</v>
      </c>
      <c r="W276" s="141"/>
      <c r="X276" s="142"/>
      <c r="Y276" s="142"/>
      <c r="Z276" s="142"/>
      <c r="AA276" s="142"/>
      <c r="AB276" s="142"/>
      <c r="AC276" s="142"/>
      <c r="AD276" s="142"/>
      <c r="AE276" s="142"/>
      <c r="AF276" s="142"/>
      <c r="AG276" s="142"/>
      <c r="AH276" s="142"/>
      <c r="AI276" s="142"/>
      <c r="AJ276" s="1927"/>
      <c r="AK276" s="1908"/>
      <c r="AL276" s="1909"/>
      <c r="AM276" s="1251"/>
      <c r="AN276" s="1251"/>
      <c r="AO276" s="1251"/>
      <c r="AP276" s="1251"/>
      <c r="AQ276" s="1251"/>
      <c r="AR276" s="1251"/>
      <c r="AS276" s="1251"/>
      <c r="AT276" s="1251"/>
    </row>
    <row r="277" spans="1:46" ht="14.25" customHeight="1">
      <c r="A277" s="771"/>
      <c r="B277" s="1154"/>
      <c r="C277" s="1154"/>
      <c r="D277" s="1154"/>
      <c r="E277" s="1154"/>
      <c r="F277" s="1154"/>
      <c r="G277" s="1154"/>
      <c r="H277" s="1154"/>
      <c r="I277" s="1154"/>
      <c r="J277" s="1154"/>
      <c r="K277" s="1154"/>
      <c r="L277" s="1154"/>
      <c r="M277" s="1154"/>
      <c r="N277" s="1154"/>
      <c r="O277" s="1154"/>
      <c r="P277" s="1154"/>
      <c r="Q277" s="1154"/>
      <c r="R277" s="1154"/>
      <c r="S277" s="1154"/>
      <c r="T277" s="139">
        <f t="shared" si="113"/>
        <v>20</v>
      </c>
      <c r="U277" s="394">
        <f t="shared" si="112"/>
        <v>2.222</v>
      </c>
      <c r="V277" s="138">
        <f t="shared" si="109"/>
        <v>62.992588999999995</v>
      </c>
      <c r="W277" s="141"/>
      <c r="X277" s="142"/>
      <c r="Y277" s="142"/>
      <c r="Z277" s="142"/>
      <c r="AA277" s="142"/>
      <c r="AB277" s="142"/>
      <c r="AC277" s="142"/>
      <c r="AD277" s="142"/>
      <c r="AE277" s="142"/>
      <c r="AF277" s="142"/>
      <c r="AG277" s="142"/>
      <c r="AH277" s="142"/>
      <c r="AI277" s="142"/>
      <c r="AJ277" s="1927"/>
      <c r="AK277" s="1908"/>
      <c r="AL277" s="1909"/>
      <c r="AM277" s="1251"/>
      <c r="AN277" s="1251"/>
      <c r="AO277" s="1251"/>
      <c r="AP277" s="1251"/>
      <c r="AQ277" s="1251"/>
      <c r="AR277" s="1251"/>
      <c r="AS277" s="1251"/>
      <c r="AT277" s="1251"/>
    </row>
    <row r="278" spans="1:46" ht="14.25" customHeight="1">
      <c r="A278" s="771"/>
      <c r="B278" s="1154"/>
      <c r="C278" s="1154"/>
      <c r="D278" s="1154"/>
      <c r="E278" s="1154"/>
      <c r="F278" s="1154"/>
      <c r="G278" s="1154"/>
      <c r="H278" s="1154"/>
      <c r="I278" s="1154"/>
      <c r="J278" s="1154"/>
      <c r="K278" s="1154"/>
      <c r="L278" s="1154"/>
      <c r="M278" s="1154"/>
      <c r="N278" s="1154"/>
      <c r="O278" s="1154"/>
      <c r="P278" s="1154"/>
      <c r="Q278" s="1154"/>
      <c r="R278" s="1154"/>
      <c r="S278" s="1154"/>
      <c r="T278" s="139">
        <f t="shared" si="113"/>
        <v>20.5</v>
      </c>
      <c r="U278" s="394">
        <f t="shared" si="112"/>
        <v>2.2775500000000002</v>
      </c>
      <c r="V278" s="138">
        <f t="shared" si="109"/>
        <v>64.567403725000005</v>
      </c>
      <c r="W278" s="141"/>
      <c r="X278" s="142"/>
      <c r="Y278" s="142"/>
      <c r="Z278" s="142"/>
      <c r="AA278" s="142"/>
      <c r="AB278" s="142"/>
      <c r="AC278" s="142"/>
      <c r="AD278" s="142"/>
      <c r="AE278" s="142"/>
      <c r="AF278" s="142"/>
      <c r="AG278" s="142"/>
      <c r="AH278" s="142"/>
      <c r="AI278" s="142"/>
      <c r="AJ278" s="1927"/>
      <c r="AK278" s="1908"/>
      <c r="AL278" s="1909"/>
      <c r="AM278" s="1251"/>
      <c r="AN278" s="1251"/>
      <c r="AO278" s="1251"/>
      <c r="AP278" s="1251"/>
      <c r="AQ278" s="1251"/>
      <c r="AR278" s="1251"/>
      <c r="AS278" s="1251"/>
      <c r="AT278" s="1251"/>
    </row>
    <row r="279" spans="1:46" ht="14.25" customHeight="1">
      <c r="A279" s="771"/>
      <c r="B279" s="1154"/>
      <c r="C279" s="1154"/>
      <c r="D279" s="1154"/>
      <c r="E279" s="1154"/>
      <c r="F279" s="1154"/>
      <c r="G279" s="1154"/>
      <c r="H279" s="1154"/>
      <c r="I279" s="1154"/>
      <c r="J279" s="1154"/>
      <c r="K279" s="1154"/>
      <c r="L279" s="1154"/>
      <c r="M279" s="1154"/>
      <c r="N279" s="1154"/>
      <c r="O279" s="1154"/>
      <c r="P279" s="1154"/>
      <c r="Q279" s="1154"/>
      <c r="R279" s="1154"/>
      <c r="S279" s="1154"/>
      <c r="T279" s="139">
        <f t="shared" si="113"/>
        <v>21</v>
      </c>
      <c r="U279" s="394">
        <f t="shared" si="112"/>
        <v>2.3331</v>
      </c>
      <c r="V279" s="138">
        <f t="shared" si="109"/>
        <v>66.142218450000001</v>
      </c>
      <c r="W279" s="141"/>
      <c r="X279" s="142"/>
      <c r="Y279" s="142"/>
      <c r="Z279" s="142"/>
      <c r="AA279" s="142"/>
      <c r="AB279" s="142"/>
      <c r="AC279" s="142"/>
      <c r="AD279" s="142"/>
      <c r="AE279" s="142"/>
      <c r="AF279" s="142"/>
      <c r="AG279" s="142"/>
      <c r="AH279" s="142"/>
      <c r="AI279" s="142"/>
      <c r="AJ279" s="1927"/>
      <c r="AK279" s="1908"/>
      <c r="AL279" s="1909"/>
      <c r="AM279" s="1251"/>
      <c r="AN279" s="1251"/>
      <c r="AO279" s="1251"/>
      <c r="AP279" s="1251"/>
      <c r="AQ279" s="1251"/>
      <c r="AR279" s="1251"/>
      <c r="AS279" s="1251"/>
      <c r="AT279" s="1251"/>
    </row>
    <row r="280" spans="1:46" ht="14.25" customHeight="1">
      <c r="A280" s="771"/>
      <c r="B280" s="1154"/>
      <c r="C280" s="1154"/>
      <c r="D280" s="1154"/>
      <c r="E280" s="1154"/>
      <c r="F280" s="1154"/>
      <c r="G280" s="1154"/>
      <c r="H280" s="1154"/>
      <c r="I280" s="1154"/>
      <c r="J280" s="1154"/>
      <c r="K280" s="1154"/>
      <c r="L280" s="1154"/>
      <c r="M280" s="1154"/>
      <c r="N280" s="1154"/>
      <c r="O280" s="1154"/>
      <c r="P280" s="1154"/>
      <c r="Q280" s="1154"/>
      <c r="R280" s="1154"/>
      <c r="S280" s="1154"/>
      <c r="T280" s="2038">
        <v>111</v>
      </c>
      <c r="U280" s="394">
        <f t="shared" si="112"/>
        <v>12.332100000000001</v>
      </c>
      <c r="V280" s="138">
        <f t="shared" si="109"/>
        <v>349.60886894999999</v>
      </c>
      <c r="W280" s="141"/>
      <c r="X280" s="142"/>
      <c r="Y280" s="142"/>
      <c r="Z280" s="142"/>
      <c r="AA280" s="142"/>
      <c r="AB280" s="142"/>
      <c r="AC280" s="142"/>
      <c r="AD280" s="142"/>
      <c r="AE280" s="142"/>
      <c r="AF280" s="142"/>
      <c r="AG280" s="142"/>
      <c r="AH280" s="142"/>
      <c r="AI280" s="142"/>
      <c r="AJ280" s="1927"/>
      <c r="AK280" s="1908"/>
      <c r="AL280" s="1909"/>
      <c r="AM280" s="1251"/>
      <c r="AN280" s="1251"/>
      <c r="AO280" s="1251"/>
      <c r="AP280" s="1251"/>
      <c r="AQ280" s="1251"/>
      <c r="AR280" s="1251"/>
      <c r="AS280" s="1251"/>
      <c r="AT280" s="1251"/>
    </row>
    <row r="281" spans="1:46" ht="14.25" customHeight="1">
      <c r="A281" s="771"/>
      <c r="B281" s="1154"/>
      <c r="C281" s="1154"/>
      <c r="D281" s="1154"/>
      <c r="E281" s="1154"/>
      <c r="F281" s="1154"/>
      <c r="G281" s="1154"/>
      <c r="H281" s="1154"/>
      <c r="I281" s="1154"/>
      <c r="J281" s="1154"/>
      <c r="K281" s="1154"/>
      <c r="L281" s="1154"/>
      <c r="M281" s="1154"/>
      <c r="N281" s="1154"/>
      <c r="O281" s="1154"/>
      <c r="P281" s="1154"/>
      <c r="Q281" s="1154"/>
      <c r="R281" s="2476"/>
      <c r="S281" s="1154"/>
      <c r="T281" s="2314" t="s">
        <v>24</v>
      </c>
      <c r="U281" s="2314" t="s">
        <v>656</v>
      </c>
      <c r="V281" s="2314" t="s">
        <v>133</v>
      </c>
      <c r="W281" s="1154"/>
      <c r="X281" s="142"/>
      <c r="Y281" s="1251"/>
      <c r="Z281" s="1251"/>
      <c r="AA281" s="1251"/>
      <c r="AB281" s="1251"/>
      <c r="AC281" s="142"/>
      <c r="AD281" s="142"/>
      <c r="AE281" s="142"/>
      <c r="AF281" s="142"/>
      <c r="AG281" s="142"/>
      <c r="AH281" s="142"/>
      <c r="AI281" s="142"/>
      <c r="AJ281" s="1927"/>
      <c r="AK281" s="1908"/>
      <c r="AL281" s="1909"/>
      <c r="AM281" s="1251"/>
      <c r="AN281" s="1251"/>
      <c r="AO281" s="1251"/>
      <c r="AP281" s="1251"/>
      <c r="AQ281" s="1251"/>
      <c r="AR281" s="1251"/>
      <c r="AS281" s="1251"/>
      <c r="AT281" s="1251"/>
    </row>
    <row r="282" spans="1:46" ht="14.25" customHeight="1">
      <c r="A282" s="771"/>
      <c r="B282" s="1154"/>
      <c r="C282" s="1154"/>
      <c r="D282" s="1154"/>
      <c r="E282" s="1154"/>
      <c r="F282" s="1154"/>
      <c r="G282" s="1154"/>
      <c r="H282" s="1154"/>
      <c r="I282" s="1154"/>
      <c r="J282" s="1154"/>
      <c r="K282" s="1154"/>
      <c r="L282" s="1154"/>
      <c r="M282" s="1154"/>
      <c r="N282" s="1154"/>
      <c r="O282" s="1154"/>
      <c r="P282" s="1154"/>
      <c r="Q282" s="1154"/>
      <c r="R282" s="2476"/>
      <c r="S282" s="1154"/>
      <c r="T282" s="1154"/>
      <c r="U282" s="1154"/>
      <c r="V282" s="1154"/>
      <c r="W282" s="1154"/>
      <c r="X282" s="142"/>
      <c r="Y282" s="1251"/>
      <c r="Z282" s="1251"/>
      <c r="AA282" s="1251"/>
      <c r="AB282" s="1251"/>
      <c r="AC282" s="142"/>
      <c r="AD282" s="142"/>
      <c r="AE282" s="142"/>
      <c r="AF282" s="142"/>
      <c r="AG282" s="142"/>
      <c r="AH282" s="142"/>
      <c r="AI282" s="142"/>
      <c r="AJ282" s="1927"/>
      <c r="AK282" s="1908"/>
      <c r="AL282" s="1909"/>
      <c r="AM282" s="1251"/>
      <c r="AN282" s="1251"/>
      <c r="AO282" s="1251"/>
      <c r="AP282" s="1251"/>
      <c r="AQ282" s="1251"/>
      <c r="AR282" s="1251"/>
      <c r="AS282" s="1251"/>
      <c r="AT282" s="1251"/>
    </row>
    <row r="283" spans="1:46" ht="14.25" customHeight="1">
      <c r="A283" s="143"/>
      <c r="B283" s="1154"/>
      <c r="C283" s="1154"/>
      <c r="D283" s="1154"/>
      <c r="E283" s="1154"/>
      <c r="F283" s="1154"/>
      <c r="G283" s="1154"/>
      <c r="H283" s="1154"/>
      <c r="I283" s="1154"/>
      <c r="J283" s="1154"/>
      <c r="K283" s="1154"/>
      <c r="L283" s="1154"/>
      <c r="M283" s="1154"/>
      <c r="N283" s="1154"/>
      <c r="O283" s="1154"/>
      <c r="P283" s="1154"/>
      <c r="Q283" s="4189"/>
      <c r="R283" s="4189"/>
      <c r="S283" s="4189"/>
      <c r="T283" s="4181" t="s">
        <v>651</v>
      </c>
      <c r="U283" s="4181"/>
      <c r="V283" s="4181"/>
      <c r="W283" s="2312"/>
      <c r="X283" s="142"/>
      <c r="Y283" s="1251"/>
      <c r="Z283" s="1251"/>
      <c r="AA283" s="1251"/>
      <c r="AB283" s="1251"/>
      <c r="AC283" s="142"/>
      <c r="AD283" s="142"/>
      <c r="AE283" s="142"/>
      <c r="AF283" s="142"/>
      <c r="AG283" s="142"/>
      <c r="AH283" s="142"/>
      <c r="AI283" s="142"/>
      <c r="AJ283" s="1908"/>
      <c r="AK283" s="1908"/>
      <c r="AL283" s="1909"/>
      <c r="AM283" s="1251"/>
      <c r="AN283" s="1251"/>
      <c r="AO283" s="1251"/>
      <c r="AP283" s="1251"/>
      <c r="AQ283" s="1251"/>
      <c r="AR283" s="1251"/>
      <c r="AS283" s="1251"/>
      <c r="AT283" s="1251"/>
    </row>
    <row r="284" spans="1:46" ht="14.25" customHeight="1">
      <c r="A284" s="108"/>
      <c r="B284" s="1154"/>
      <c r="C284" s="1154"/>
      <c r="D284" s="1154"/>
      <c r="E284" s="1154"/>
      <c r="F284" s="1154"/>
      <c r="G284" s="1154"/>
      <c r="H284" s="1154"/>
      <c r="I284" s="1154"/>
      <c r="J284" s="1154"/>
      <c r="K284" s="1154"/>
      <c r="L284" s="1154"/>
      <c r="M284" s="1154"/>
      <c r="N284" s="1154"/>
      <c r="O284" s="1154"/>
      <c r="P284" s="1154"/>
      <c r="Q284" s="4180" t="s">
        <v>652</v>
      </c>
      <c r="R284" s="4180"/>
      <c r="S284" s="4180"/>
      <c r="T284" s="4182" t="s">
        <v>155</v>
      </c>
      <c r="U284" s="4182"/>
      <c r="V284" s="4182"/>
      <c r="W284" s="2313"/>
      <c r="X284" s="142"/>
      <c r="Y284" s="1251"/>
      <c r="Z284" s="1251"/>
      <c r="AA284" s="1251"/>
      <c r="AB284" s="1251"/>
      <c r="AC284" s="142"/>
      <c r="AD284" s="142"/>
      <c r="AE284" s="142"/>
      <c r="AF284" s="142"/>
      <c r="AG284" s="142"/>
      <c r="AH284" s="142"/>
      <c r="AI284" s="142"/>
      <c r="AJ284" s="1908"/>
      <c r="AK284" s="1908"/>
      <c r="AL284" s="1909"/>
      <c r="AM284" s="1251"/>
      <c r="AN284" s="1251"/>
      <c r="AO284" s="1251"/>
      <c r="AP284" s="1251"/>
      <c r="AQ284" s="1251"/>
      <c r="AR284" s="1251"/>
      <c r="AS284" s="1251"/>
      <c r="AT284" s="1251"/>
    </row>
    <row r="285" spans="1:46" ht="14.25" customHeight="1">
      <c r="A285" s="108"/>
      <c r="B285" s="1154"/>
      <c r="C285" s="1154"/>
      <c r="D285" s="1154"/>
      <c r="E285" s="1154"/>
      <c r="F285" s="1154"/>
      <c r="G285" s="1154"/>
      <c r="H285" s="1154"/>
      <c r="I285" s="1154"/>
      <c r="J285" s="1154"/>
      <c r="K285" s="1154"/>
      <c r="L285" s="1154"/>
      <c r="M285" s="1154"/>
      <c r="N285" s="1154"/>
      <c r="O285" s="1154"/>
      <c r="P285" s="1154"/>
      <c r="Q285" s="4190" t="s">
        <v>948</v>
      </c>
      <c r="R285" s="4190"/>
      <c r="S285" s="4190"/>
      <c r="T285" s="4183" t="s">
        <v>431</v>
      </c>
      <c r="U285" s="4183"/>
      <c r="V285" s="4183"/>
      <c r="W285" s="2587"/>
      <c r="X285" s="142"/>
      <c r="Y285" s="142"/>
      <c r="Z285" s="142"/>
      <c r="AA285" s="142"/>
      <c r="AB285" s="142"/>
      <c r="AC285" s="142"/>
      <c r="AD285" s="142"/>
      <c r="AE285" s="142"/>
      <c r="AF285" s="142"/>
      <c r="AG285" s="142"/>
      <c r="AH285" s="142"/>
      <c r="AI285" s="142"/>
      <c r="AJ285" s="1908"/>
      <c r="AK285" s="1908"/>
      <c r="AL285" s="1909"/>
      <c r="AM285" s="1251"/>
      <c r="AN285" s="1251"/>
      <c r="AO285" s="1251"/>
      <c r="AP285" s="1251"/>
      <c r="AQ285" s="1251"/>
      <c r="AR285" s="1251"/>
      <c r="AS285" s="1251"/>
      <c r="AT285" s="1251"/>
    </row>
    <row r="286" spans="1:46" ht="14.25" customHeight="1">
      <c r="A286" s="108"/>
      <c r="B286" s="3955" t="s">
        <v>598</v>
      </c>
      <c r="C286" s="3955"/>
      <c r="D286" s="3955"/>
      <c r="E286" s="3955"/>
      <c r="F286" s="3955"/>
      <c r="G286" s="3955"/>
      <c r="H286" s="3955"/>
      <c r="I286" s="3955"/>
      <c r="J286" s="3955"/>
      <c r="K286" s="1154"/>
      <c r="L286" s="1154"/>
      <c r="M286" s="1154"/>
      <c r="N286" s="1154"/>
      <c r="O286" s="1154"/>
      <c r="P286" s="1154"/>
      <c r="Q286" s="4180" t="s">
        <v>168</v>
      </c>
      <c r="R286" s="4180"/>
      <c r="S286" s="4180"/>
      <c r="T286" s="4184" t="s">
        <v>157</v>
      </c>
      <c r="U286" s="4184"/>
      <c r="V286" s="4184"/>
      <c r="W286" s="2588"/>
      <c r="X286" s="142"/>
      <c r="Y286" s="142"/>
      <c r="Z286" s="142"/>
      <c r="AA286" s="142"/>
      <c r="AB286" s="142"/>
      <c r="AC286" s="142"/>
      <c r="AD286" s="142"/>
      <c r="AE286" s="142"/>
      <c r="AF286" s="142"/>
      <c r="AG286" s="142"/>
      <c r="AH286" s="142"/>
      <c r="AI286" s="142"/>
      <c r="AJ286" s="1908"/>
      <c r="AK286" s="1908"/>
      <c r="AL286" s="1909"/>
      <c r="AM286" s="1251"/>
      <c r="AN286" s="1251"/>
      <c r="AO286" s="1251"/>
      <c r="AP286" s="1251"/>
      <c r="AQ286" s="1251"/>
      <c r="AR286" s="1251"/>
      <c r="AS286" s="1251"/>
      <c r="AT286" s="1251"/>
    </row>
    <row r="287" spans="1:46">
      <c r="A287" s="108"/>
      <c r="B287" s="108"/>
      <c r="C287" s="108"/>
      <c r="D287" s="108"/>
      <c r="E287" s="108"/>
      <c r="F287" s="108"/>
      <c r="G287" s="108"/>
      <c r="H287" s="108"/>
      <c r="I287" s="108"/>
      <c r="J287" s="108"/>
      <c r="K287" s="108"/>
      <c r="L287" s="108"/>
      <c r="M287" s="1154"/>
      <c r="N287" s="1154"/>
      <c r="O287" s="1154"/>
      <c r="P287" s="1154"/>
      <c r="Q287" s="1154"/>
      <c r="R287" s="1154"/>
      <c r="S287" s="1154"/>
      <c r="T287" s="108"/>
      <c r="U287" s="108"/>
      <c r="V287" s="108"/>
      <c r="W287" s="108"/>
      <c r="X287" s="142"/>
      <c r="Y287" s="1251"/>
      <c r="Z287" s="1251"/>
      <c r="AA287" s="1251"/>
      <c r="AB287" s="1251"/>
      <c r="AC287" s="1251"/>
      <c r="AD287" s="1251"/>
      <c r="AE287" s="1251"/>
      <c r="AF287" s="1251"/>
      <c r="AG287" s="1251"/>
      <c r="AH287" s="1251"/>
      <c r="AI287" s="1251"/>
      <c r="AJ287" s="1251"/>
      <c r="AK287" s="1251"/>
      <c r="AL287" s="1251"/>
      <c r="AM287" s="1251"/>
      <c r="AN287" s="1251"/>
      <c r="AO287" s="1251"/>
      <c r="AP287" s="1251"/>
      <c r="AQ287" s="1251"/>
      <c r="AR287" s="1251"/>
      <c r="AS287" s="1251"/>
      <c r="AT287" s="1251"/>
    </row>
  </sheetData>
  <sheetProtection password="FA80" sheet="1" objects="1" scenarios="1"/>
  <mergeCells count="316">
    <mergeCell ref="N164:O164"/>
    <mergeCell ref="Q286:S286"/>
    <mergeCell ref="T283:V283"/>
    <mergeCell ref="T284:V284"/>
    <mergeCell ref="T285:V285"/>
    <mergeCell ref="T286:V286"/>
    <mergeCell ref="T237:V237"/>
    <mergeCell ref="T216:U216"/>
    <mergeCell ref="Q189:T189"/>
    <mergeCell ref="Q190:T190"/>
    <mergeCell ref="U223:V223"/>
    <mergeCell ref="T219:U219"/>
    <mergeCell ref="U222:V222"/>
    <mergeCell ref="Q283:S283"/>
    <mergeCell ref="Q284:S284"/>
    <mergeCell ref="Q285:S285"/>
    <mergeCell ref="U203:V203"/>
    <mergeCell ref="U196:V196"/>
    <mergeCell ref="T217:U217"/>
    <mergeCell ref="Q207:T207"/>
    <mergeCell ref="Q208:T208"/>
    <mergeCell ref="Q209:T209"/>
    <mergeCell ref="Q210:T210"/>
    <mergeCell ref="B241:C241"/>
    <mergeCell ref="R203:S203"/>
    <mergeCell ref="J222:L222"/>
    <mergeCell ref="E228:G228"/>
    <mergeCell ref="C217:G217"/>
    <mergeCell ref="L188:N188"/>
    <mergeCell ref="C216:G216"/>
    <mergeCell ref="Q211:T211"/>
    <mergeCell ref="Q212:T212"/>
    <mergeCell ref="C204:D204"/>
    <mergeCell ref="C203:D203"/>
    <mergeCell ref="Q193:T193"/>
    <mergeCell ref="C202:D202"/>
    <mergeCell ref="G193:L193"/>
    <mergeCell ref="C199:D199"/>
    <mergeCell ref="O192:P192"/>
    <mergeCell ref="M239:O241"/>
    <mergeCell ref="R196:S196"/>
    <mergeCell ref="M196:O196"/>
    <mergeCell ref="G209:K209"/>
    <mergeCell ref="E238:F238"/>
    <mergeCell ref="B234:E234"/>
    <mergeCell ref="B215:D215"/>
    <mergeCell ref="B221:C221"/>
    <mergeCell ref="K151:N151"/>
    <mergeCell ref="C126:D126"/>
    <mergeCell ref="E145:F145"/>
    <mergeCell ref="I148:O148"/>
    <mergeCell ref="I147:P147"/>
    <mergeCell ref="I149:J149"/>
    <mergeCell ref="E141:F142"/>
    <mergeCell ref="B140:D143"/>
    <mergeCell ref="K96:L96"/>
    <mergeCell ref="N98:O98"/>
    <mergeCell ref="N124:O124"/>
    <mergeCell ref="N100:S100"/>
    <mergeCell ref="C122:G122"/>
    <mergeCell ref="K123:L123"/>
    <mergeCell ref="E99:F99"/>
    <mergeCell ref="C148:D148"/>
    <mergeCell ref="R147:S147"/>
    <mergeCell ref="AQ24:AT24"/>
    <mergeCell ref="N123:O123"/>
    <mergeCell ref="C21:S21"/>
    <mergeCell ref="N126:S126"/>
    <mergeCell ref="C87:S87"/>
    <mergeCell ref="K98:L98"/>
    <mergeCell ref="N23:S23"/>
    <mergeCell ref="I96:J96"/>
    <mergeCell ref="E86:G86"/>
    <mergeCell ref="C96:G96"/>
    <mergeCell ref="P123:Q123"/>
    <mergeCell ref="E22:F22"/>
    <mergeCell ref="K124:L124"/>
    <mergeCell ref="P124:Q124"/>
    <mergeCell ref="A1:B1"/>
    <mergeCell ref="A3:D3"/>
    <mergeCell ref="S2:V2"/>
    <mergeCell ref="U1:V1"/>
    <mergeCell ref="I3:N3"/>
    <mergeCell ref="K1:M1"/>
    <mergeCell ref="Z6:AA6"/>
    <mergeCell ref="X1:AT1"/>
    <mergeCell ref="X2:Y3"/>
    <mergeCell ref="AS6:AT6"/>
    <mergeCell ref="AF2:AG3"/>
    <mergeCell ref="AB2:AC3"/>
    <mergeCell ref="AS5:AT5"/>
    <mergeCell ref="AS4:AT4"/>
    <mergeCell ref="AF6:AG6"/>
    <mergeCell ref="AH4:AI4"/>
    <mergeCell ref="Z5:AA5"/>
    <mergeCell ref="X6:Y6"/>
    <mergeCell ref="AF4:AG4"/>
    <mergeCell ref="AB6:AC6"/>
    <mergeCell ref="Z2:AA3"/>
    <mergeCell ref="AS2:AT3"/>
    <mergeCell ref="AD5:AE5"/>
    <mergeCell ref="AH6:AI6"/>
    <mergeCell ref="B4:C4"/>
    <mergeCell ref="B5:C5"/>
    <mergeCell ref="B6:C6"/>
    <mergeCell ref="I6:N6"/>
    <mergeCell ref="C11:G11"/>
    <mergeCell ref="Q5:V5"/>
    <mergeCell ref="I4:N4"/>
    <mergeCell ref="Q3:V4"/>
    <mergeCell ref="B10:G10"/>
    <mergeCell ref="B7:C7"/>
    <mergeCell ref="E8:O8"/>
    <mergeCell ref="E7:F7"/>
    <mergeCell ref="I5:M5"/>
    <mergeCell ref="X5:Y5"/>
    <mergeCell ref="AB4:AC4"/>
    <mergeCell ref="AH5:AI5"/>
    <mergeCell ref="AQ5:AR5"/>
    <mergeCell ref="X4:Y4"/>
    <mergeCell ref="AF5:AG5"/>
    <mergeCell ref="AD4:AE4"/>
    <mergeCell ref="AB5:AC5"/>
    <mergeCell ref="Z7:AA7"/>
    <mergeCell ref="AQ4:AR4"/>
    <mergeCell ref="AF7:AG7"/>
    <mergeCell ref="E12:F12"/>
    <mergeCell ref="AQ12:AS12"/>
    <mergeCell ref="AS7:AT7"/>
    <mergeCell ref="AD7:AE7"/>
    <mergeCell ref="AB7:AC7"/>
    <mergeCell ref="AD6:AE6"/>
    <mergeCell ref="X8:AT8"/>
    <mergeCell ref="AQ11:AS11"/>
    <mergeCell ref="AJ9:AP9"/>
    <mergeCell ref="AQ13:AS13"/>
    <mergeCell ref="P122:Q122"/>
    <mergeCell ref="AH2:AI3"/>
    <mergeCell ref="AQ2:AR3"/>
    <mergeCell ref="AD2:AE3"/>
    <mergeCell ref="Z4:AA4"/>
    <mergeCell ref="AQ6:AR6"/>
    <mergeCell ref="AQ7:AR7"/>
    <mergeCell ref="AH7:AI7"/>
    <mergeCell ref="X7:Y7"/>
    <mergeCell ref="AQ16:AS16"/>
    <mergeCell ref="AQ17:AS17"/>
    <mergeCell ref="AQ18:AS18"/>
    <mergeCell ref="AQ19:AS19"/>
    <mergeCell ref="I86:S86"/>
    <mergeCell ref="AQ22:AT23"/>
    <mergeCell ref="K122:L122"/>
    <mergeCell ref="AQ14:AS14"/>
    <mergeCell ref="AQ15:AS15"/>
    <mergeCell ref="X21:AT21"/>
    <mergeCell ref="N97:O97"/>
    <mergeCell ref="K97:L97"/>
    <mergeCell ref="AJ95:AP95"/>
    <mergeCell ref="N12:S12"/>
    <mergeCell ref="Z152:AA152"/>
    <mergeCell ref="Z153:AA153"/>
    <mergeCell ref="Q192:T192"/>
    <mergeCell ref="Q163:S163"/>
    <mergeCell ref="Q172:R172"/>
    <mergeCell ref="Q191:T191"/>
    <mergeCell ref="Q173:R173"/>
    <mergeCell ref="C169:R169"/>
    <mergeCell ref="C173:D173"/>
    <mergeCell ref="O174:P174"/>
    <mergeCell ref="M174:N174"/>
    <mergeCell ref="I175:J175"/>
    <mergeCell ref="O175:P175"/>
    <mergeCell ref="G190:L190"/>
    <mergeCell ref="G184:I184"/>
    <mergeCell ref="Q174:R174"/>
    <mergeCell ref="N167:S167"/>
    <mergeCell ref="G162:M162"/>
    <mergeCell ref="C156:O156"/>
    <mergeCell ref="Q188:T188"/>
    <mergeCell ref="K161:M161"/>
    <mergeCell ref="F187:L187"/>
    <mergeCell ref="G178:J178"/>
    <mergeCell ref="C183:D183"/>
    <mergeCell ref="Z154:AA154"/>
    <mergeCell ref="Z155:AA155"/>
    <mergeCell ref="Z156:AA156"/>
    <mergeCell ref="Z157:AA157"/>
    <mergeCell ref="Z158:AA158"/>
    <mergeCell ref="Z159:AA159"/>
    <mergeCell ref="G183:I183"/>
    <mergeCell ref="M175:N175"/>
    <mergeCell ref="G188:J188"/>
    <mergeCell ref="I173:J173"/>
    <mergeCell ref="F167:M167"/>
    <mergeCell ref="E170:F170"/>
    <mergeCell ref="G171:R171"/>
    <mergeCell ref="G164:M164"/>
    <mergeCell ref="G157:K157"/>
    <mergeCell ref="C154:G154"/>
    <mergeCell ref="C171:D171"/>
    <mergeCell ref="C157:E157"/>
    <mergeCell ref="C179:D179"/>
    <mergeCell ref="G170:R170"/>
    <mergeCell ref="G163:M163"/>
    <mergeCell ref="P180:S183"/>
    <mergeCell ref="E171:F171"/>
    <mergeCell ref="K173:L173"/>
    <mergeCell ref="X141:AB141"/>
    <mergeCell ref="X151:AB151"/>
    <mergeCell ref="G141:M141"/>
    <mergeCell ref="O173:P173"/>
    <mergeCell ref="M173:N173"/>
    <mergeCell ref="G153:J153"/>
    <mergeCell ref="K154:P154"/>
    <mergeCell ref="K153:P153"/>
    <mergeCell ref="C155:O155"/>
    <mergeCell ref="K172:L172"/>
    <mergeCell ref="C170:D170"/>
    <mergeCell ref="C147:D147"/>
    <mergeCell ref="C153:D153"/>
    <mergeCell ref="C172:D172"/>
    <mergeCell ref="G160:M160"/>
    <mergeCell ref="B160:D162"/>
    <mergeCell ref="M172:N172"/>
    <mergeCell ref="I172:J172"/>
    <mergeCell ref="O172:P172"/>
    <mergeCell ref="E172:G172"/>
    <mergeCell ref="K149:N149"/>
    <mergeCell ref="K150:N150"/>
    <mergeCell ref="N158:S158"/>
    <mergeCell ref="C149:D149"/>
    <mergeCell ref="E173:G173"/>
    <mergeCell ref="C185:D185"/>
    <mergeCell ref="C190:D190"/>
    <mergeCell ref="C189:D189"/>
    <mergeCell ref="C184:D184"/>
    <mergeCell ref="C180:D180"/>
    <mergeCell ref="C177:D177"/>
    <mergeCell ref="C174:D174"/>
    <mergeCell ref="G180:J180"/>
    <mergeCell ref="G181:O181"/>
    <mergeCell ref="G182:K182"/>
    <mergeCell ref="C178:D178"/>
    <mergeCell ref="N177:R177"/>
    <mergeCell ref="O179:T179"/>
    <mergeCell ref="I174:J174"/>
    <mergeCell ref="N178:R178"/>
    <mergeCell ref="K174:L174"/>
    <mergeCell ref="K175:L175"/>
    <mergeCell ref="Q175:R175"/>
    <mergeCell ref="E174:G174"/>
    <mergeCell ref="E175:G175"/>
    <mergeCell ref="G179:J179"/>
    <mergeCell ref="G185:I185"/>
    <mergeCell ref="C181:D181"/>
    <mergeCell ref="C196:K196"/>
    <mergeCell ref="M197:O197"/>
    <mergeCell ref="C175:D175"/>
    <mergeCell ref="G191:L191"/>
    <mergeCell ref="E236:F236"/>
    <mergeCell ref="E237:F237"/>
    <mergeCell ref="E230:G230"/>
    <mergeCell ref="J229:L229"/>
    <mergeCell ref="G211:J211"/>
    <mergeCell ref="G210:J210"/>
    <mergeCell ref="G200:I200"/>
    <mergeCell ref="L210:O210"/>
    <mergeCell ref="O193:P193"/>
    <mergeCell ref="D193:F193"/>
    <mergeCell ref="C201:D201"/>
    <mergeCell ref="C200:D200"/>
    <mergeCell ref="G199:O199"/>
    <mergeCell ref="B195:E195"/>
    <mergeCell ref="C222:G223"/>
    <mergeCell ref="L208:O208"/>
    <mergeCell ref="D212:F212"/>
    <mergeCell ref="D211:F211"/>
    <mergeCell ref="C210:D210"/>
    <mergeCell ref="G198:O198"/>
    <mergeCell ref="C198:D198"/>
    <mergeCell ref="C218:G218"/>
    <mergeCell ref="N212:P212"/>
    <mergeCell ref="G207:J207"/>
    <mergeCell ref="C208:D208"/>
    <mergeCell ref="L207:N207"/>
    <mergeCell ref="L209:O209"/>
    <mergeCell ref="I215:K215"/>
    <mergeCell ref="C206:D206"/>
    <mergeCell ref="F206:L206"/>
    <mergeCell ref="E207:F207"/>
    <mergeCell ref="G212:J212"/>
    <mergeCell ref="C209:D209"/>
    <mergeCell ref="AJ193:AP193"/>
    <mergeCell ref="AJ141:AP141"/>
    <mergeCell ref="B286:J286"/>
    <mergeCell ref="M187:N187"/>
    <mergeCell ref="E229:G229"/>
    <mergeCell ref="J238:K238"/>
    <mergeCell ref="E239:I239"/>
    <mergeCell ref="E235:I235"/>
    <mergeCell ref="L235:O235"/>
    <mergeCell ref="M236:N236"/>
    <mergeCell ref="M237:N237"/>
    <mergeCell ref="M238:N238"/>
    <mergeCell ref="J237:K237"/>
    <mergeCell ref="E188:F188"/>
    <mergeCell ref="G189:L189"/>
    <mergeCell ref="G192:L192"/>
    <mergeCell ref="G208:K208"/>
    <mergeCell ref="C187:D187"/>
    <mergeCell ref="E225:G227"/>
    <mergeCell ref="B235:D235"/>
    <mergeCell ref="N211:P211"/>
    <mergeCell ref="M206:N206"/>
    <mergeCell ref="D192:F192"/>
    <mergeCell ref="M215:O215"/>
  </mergeCells>
  <phoneticPr fontId="10" type="noConversion"/>
  <conditionalFormatting sqref="F201">
    <cfRule type="cellIs" dxfId="7" priority="13" stopIfTrue="1" operator="greaterThan">
      <formula>4</formula>
    </cfRule>
  </conditionalFormatting>
  <conditionalFormatting sqref="E171">
    <cfRule type="cellIs" dxfId="6" priority="11" stopIfTrue="1" operator="equal">
      <formula>0</formula>
    </cfRule>
    <cfRule type="cellIs" dxfId="5" priority="12" stopIfTrue="1" operator="greaterThan">
      <formula>0</formula>
    </cfRule>
  </conditionalFormatting>
  <conditionalFormatting sqref="S177">
    <cfRule type="cellIs" dxfId="4" priority="15" stopIfTrue="1" operator="lessThan">
      <formula>$F$181-0.3</formula>
    </cfRule>
    <cfRule type="cellIs" dxfId="3" priority="16" stopIfTrue="1" operator="between">
      <formula>$F$181-0.3</formula>
      <formula>$F$181</formula>
    </cfRule>
    <cfRule type="cellIs" dxfId="2" priority="17" stopIfTrue="1" operator="greaterThan">
      <formula>$F$181</formula>
    </cfRule>
  </conditionalFormatting>
  <hyperlinks>
    <hyperlink ref="L209:N209" location="'Wine Calc'!E156" display="(If not - check cell &quot;E157&quot;)"/>
    <hyperlink ref="L209:M209" location="'Wine Calc'!E156" display="(If not - check cell &quot;E157&quot;)"/>
    <hyperlink ref="T286" r:id="rId1"/>
    <hyperlink ref="N209" location="'Wine Calc'!E156" display="'Wine Calc'!E156"/>
    <hyperlink ref="T284" r:id="rId2" display="www.thewinemakersgoodbrewbook.com"/>
    <hyperlink ref="L209:O209" location="'Wine Calc '!E170" display="If not - check cell E170"/>
    <hyperlink ref="M196" location="'Wine Calc.'!D67" display="Ensure cell E157 is clear!"/>
    <hyperlink ref="M196:N196" location="'Wine Calc '!E170" display="Ensure cell E170 is clear!"/>
    <hyperlink ref="A246" r:id="rId3" location="PIGGY-BACK " display="www.petespintpot.co.uk/index.html#PIGGY-BACK "/>
    <hyperlink ref="S2" r:id="rId4"/>
    <hyperlink ref="C246" r:id="rId5" location="PIGGY-BACK " display="http://www.petespintpot.co.uk/index.html - PIGGY-BACK "/>
    <hyperlink ref="F177" location="'Wine Calc '!D7" display="'Wine Calc '!D7"/>
    <hyperlink ref="A245" r:id="rId6" location="PIGGY-BACK " display="www.petespintpot.co.uk/index.html#PIGGY-BACK "/>
    <hyperlink ref="C245" r:id="rId7" location="PIGGY-BACK " display="http://www.petespintpot.co.uk/index.html - PIGGY-BACK "/>
    <hyperlink ref="G176" location="'Wine Calc '!D7" display="'Wine Calc '!D7"/>
    <hyperlink ref="R2" r:id="rId8" display="www.petespintpot.co.uk"/>
    <hyperlink ref="J188" location="'Wine Calc.'!D67" display="Ensure cell E157 is clear!"/>
    <hyperlink ref="P2" r:id="rId9" display="www.petespintpot.co.uk"/>
    <hyperlink ref="A235" r:id="rId10" location="PIGGY-BACK " display="http://www.petespintpot.co.uk/index.html - PIGGY-BACK "/>
    <hyperlink ref="A234" r:id="rId11" location="PIGGY-BACK " display="http://www.petespintpot.co.uk/index.html - PIGGY-BACK "/>
    <hyperlink ref="R190" location="'Wine Calc.'!D67" display="Ensure cell E157 is clear!"/>
    <hyperlink ref="V5" r:id="rId12" display="www.petespintpot.co.uk"/>
    <hyperlink ref="I170" location="'Beer Kit Calc''s Etc.'!AO78" display="FINAL BOTTLED VOLUME "/>
    <hyperlink ref="I170:J170" location="'Beer Kit Calc''s Etc'!B97" display="FINAL BOTTLED VOLUME "/>
    <hyperlink ref="R6" r:id="rId13" display="www.petespintpot.co.uk"/>
    <hyperlink ref="A237" r:id="rId14" location="PIGGY-BACK " display="http://www.petespintpot.co.uk/index.html - PIGGY-BACK "/>
    <hyperlink ref="E208" r:id="rId15" display="http://www.petespintpot.co.uk/diabetic.html"/>
    <hyperlink ref="A236" r:id="rId16" location="PIGGY-BACK " display="http://www.petespintpot.co.uk/index.html - PIGGY-BACK "/>
    <hyperlink ref="AS276" r:id="rId17" display="http://www.petespintpot.co.uk/"/>
    <hyperlink ref="N190" location="'Wine Calc.'!D67" display="Ensure cell E157 is clear!"/>
    <hyperlink ref="T6" r:id="rId18" display="www.petespintpot.co.uk"/>
    <hyperlink ref="D29" location="'Wine Calc '!X21" display="FLESH*"/>
    <hyperlink ref="AD264" r:id="rId19" display="www.petespintpot.co.uk"/>
    <hyperlink ref="F221" location="'Primer'!A1" display="Priming Chart For Beers"/>
    <hyperlink ref="G221" location="'Primer'!A1" display="Priming Chart For Beers"/>
    <hyperlink ref="H225" location="'Beer Data Sheet'!O8" display="This section is used for &quot;Un-fermentable sugar reduction&quot; only."/>
    <hyperlink ref="AS277" r:id="rId20" display="mailto:david.barrow@live.co.uk"/>
    <hyperlink ref="AS279" r:id="rId21" display="mailto:david.barrow@live.co.uk"/>
    <hyperlink ref="AS278" r:id="rId22" display="http://www.petespintpot.co.uk/"/>
    <hyperlink ref="T285" r:id="rId23" display="mailto:jamesbsmith@hotmail.com"/>
    <hyperlink ref="P210" r:id="rId24" display="david.barrow@live.co.uk"/>
    <hyperlink ref="P180:S183" location="'Wine Calc '!S178" display="When adding water (see cell S178) to a recipe, always err on the side caution as you can add more later if required. The converse is rather more difficult!"/>
    <hyperlink ref="E7:F7" location="'Wine Calc '!F180" display="'Wine Calc '!F180"/>
  </hyperlinks>
  <printOptions horizontalCentered="1"/>
  <pageMargins left="0.39370078740157483" right="0.39370078740157483" top="0.36" bottom="0.69685039370078738" header="0.31" footer="0.51181102362204722"/>
  <pageSetup paperSize="9" scale="39" fitToHeight="2" orientation="portrait" horizontalDpi="300" verticalDpi="300" r:id="rId25"/>
  <headerFooter alignWithMargins="0"/>
  <rowBreaks count="1" manualBreakCount="1">
    <brk id="143" max="22" man="1"/>
  </rowBreaks>
  <ignoredErrors>
    <ignoredError sqref="G140" formula="1"/>
  </ignoredErrors>
  <drawing r:id="rId26"/>
</worksheet>
</file>

<file path=xl/worksheets/sheet9.xml><?xml version="1.0" encoding="utf-8"?>
<worksheet xmlns="http://schemas.openxmlformats.org/spreadsheetml/2006/main" xmlns:r="http://schemas.openxmlformats.org/officeDocument/2006/relationships">
  <sheetPr>
    <tabColor theme="3" tint="0.39997558519241921"/>
    <pageSetUpPr fitToPage="1"/>
  </sheetPr>
  <dimension ref="A1:K78"/>
  <sheetViews>
    <sheetView zoomScale="80" zoomScaleNormal="80" zoomScaleSheetLayoutView="98" workbookViewId="0">
      <selection activeCell="C35" sqref="C35"/>
    </sheetView>
  </sheetViews>
  <sheetFormatPr defaultColWidth="8.7109375" defaultRowHeight="15"/>
  <cols>
    <col min="1" max="1" width="1.7109375" style="964" customWidth="1"/>
    <col min="2" max="2" width="41.140625" style="962" customWidth="1"/>
    <col min="3" max="3" width="13.140625" style="962" customWidth="1"/>
    <col min="4" max="9" width="13.28515625" style="962" customWidth="1"/>
    <col min="10" max="10" width="1.42578125" style="963" customWidth="1"/>
    <col min="11" max="11" width="2.28515625" style="938" customWidth="1"/>
    <col min="12" max="16384" width="8.7109375" style="938"/>
  </cols>
  <sheetData>
    <row r="1" spans="1:11" ht="20.25">
      <c r="A1" s="4193" t="s">
        <v>1649</v>
      </c>
      <c r="B1" s="4193"/>
      <c r="C1" s="4194" t="s">
        <v>1400</v>
      </c>
      <c r="D1" s="4194"/>
      <c r="E1" s="4194"/>
      <c r="F1" s="4194"/>
      <c r="G1" s="936"/>
      <c r="H1" s="936"/>
      <c r="I1" s="4195" t="s">
        <v>1650</v>
      </c>
      <c r="J1" s="4195"/>
      <c r="K1" s="937"/>
    </row>
    <row r="2" spans="1:11">
      <c r="A2" s="4198"/>
      <c r="B2" s="4198"/>
      <c r="C2" s="940"/>
      <c r="D2" s="940"/>
      <c r="E2" s="940"/>
      <c r="F2" s="940"/>
      <c r="G2" s="940"/>
      <c r="H2" s="940"/>
      <c r="I2" s="941"/>
      <c r="J2" s="942"/>
      <c r="K2" s="937"/>
    </row>
    <row r="3" spans="1:11">
      <c r="A3" s="943"/>
      <c r="B3" s="944" t="s">
        <v>1401</v>
      </c>
      <c r="C3" s="944"/>
      <c r="D3" s="944"/>
      <c r="E3" s="944"/>
      <c r="F3" s="944"/>
      <c r="G3" s="944"/>
      <c r="H3" s="944"/>
      <c r="I3" s="944"/>
      <c r="J3" s="2628"/>
      <c r="K3" s="2629"/>
    </row>
    <row r="4" spans="1:11" ht="25.5">
      <c r="A4" s="943"/>
      <c r="B4" s="946" t="s">
        <v>1402</v>
      </c>
      <c r="C4" s="947" t="s">
        <v>1403</v>
      </c>
      <c r="D4" s="947" t="s">
        <v>1404</v>
      </c>
      <c r="E4" s="947" t="s">
        <v>1405</v>
      </c>
      <c r="F4" s="947" t="s">
        <v>1406</v>
      </c>
      <c r="G4" s="947" t="s">
        <v>1407</v>
      </c>
      <c r="H4" s="947" t="s">
        <v>1408</v>
      </c>
      <c r="I4" s="947" t="s">
        <v>1409</v>
      </c>
      <c r="J4" s="2628"/>
      <c r="K4" s="2629"/>
    </row>
    <row r="5" spans="1:11" ht="15" customHeight="1">
      <c r="A5" s="943"/>
      <c r="B5" s="948" t="s">
        <v>1410</v>
      </c>
      <c r="C5" s="949" t="s">
        <v>1411</v>
      </c>
      <c r="D5" s="949" t="s">
        <v>1412</v>
      </c>
      <c r="E5" s="949" t="s">
        <v>1413</v>
      </c>
      <c r="F5" s="949" t="s">
        <v>1414</v>
      </c>
      <c r="G5" s="949" t="s">
        <v>1415</v>
      </c>
      <c r="H5" s="949" t="s">
        <v>1416</v>
      </c>
      <c r="I5" s="949" t="s">
        <v>1417</v>
      </c>
      <c r="J5" s="2628"/>
      <c r="K5" s="2629"/>
    </row>
    <row r="6" spans="1:11" ht="15" customHeight="1">
      <c r="A6" s="943"/>
      <c r="B6" s="948" t="s">
        <v>1418</v>
      </c>
      <c r="C6" s="949" t="s">
        <v>1419</v>
      </c>
      <c r="D6" s="949" t="s">
        <v>1420</v>
      </c>
      <c r="E6" s="949" t="s">
        <v>1421</v>
      </c>
      <c r="F6" s="949" t="s">
        <v>1422</v>
      </c>
      <c r="G6" s="949" t="s">
        <v>1423</v>
      </c>
      <c r="H6" s="949" t="s">
        <v>1424</v>
      </c>
      <c r="I6" s="949" t="s">
        <v>1425</v>
      </c>
      <c r="J6" s="2628"/>
      <c r="K6" s="2629"/>
    </row>
    <row r="7" spans="1:11" ht="15" customHeight="1">
      <c r="A7" s="943"/>
      <c r="B7" s="2628"/>
      <c r="C7" s="2628"/>
      <c r="D7" s="2628"/>
      <c r="E7" s="2628"/>
      <c r="F7" s="2628"/>
      <c r="G7" s="2628"/>
      <c r="H7" s="2628"/>
      <c r="I7" s="2628"/>
      <c r="J7" s="2628"/>
      <c r="K7" s="2629"/>
    </row>
    <row r="8" spans="1:11" ht="15" customHeight="1" thickBot="1">
      <c r="A8" s="943"/>
      <c r="B8" s="2630" t="s">
        <v>1426</v>
      </c>
      <c r="C8" s="2628"/>
      <c r="D8" s="2628"/>
      <c r="E8" s="2628"/>
      <c r="F8" s="2628"/>
      <c r="G8" s="2628"/>
      <c r="H8" s="2628"/>
      <c r="I8" s="2628"/>
      <c r="J8" s="2628"/>
      <c r="K8" s="2629"/>
    </row>
    <row r="9" spans="1:11" ht="15" customHeight="1" thickBot="1">
      <c r="A9" s="943"/>
      <c r="B9" s="2631" t="s">
        <v>1427</v>
      </c>
      <c r="C9" s="2628"/>
      <c r="D9" s="2628"/>
      <c r="E9" s="2628"/>
      <c r="F9" s="2628"/>
      <c r="G9" s="2628"/>
      <c r="H9" s="2628"/>
      <c r="I9" s="2628"/>
      <c r="J9" s="2628"/>
      <c r="K9" s="2629"/>
    </row>
    <row r="10" spans="1:11" ht="15" customHeight="1">
      <c r="A10" s="943"/>
      <c r="B10" s="2632"/>
      <c r="C10" s="2628"/>
      <c r="D10" s="2628"/>
      <c r="E10" s="2628"/>
      <c r="F10" s="2628"/>
      <c r="G10" s="2628"/>
      <c r="H10" s="2628"/>
      <c r="I10" s="2628"/>
      <c r="J10" s="2628"/>
      <c r="K10" s="2629"/>
    </row>
    <row r="11" spans="1:11" ht="15" customHeight="1">
      <c r="A11" s="943"/>
      <c r="B11" s="2633" t="s">
        <v>1428</v>
      </c>
      <c r="C11" s="2634"/>
      <c r="D11" s="2634"/>
      <c r="E11" s="2628"/>
      <c r="F11" s="2628"/>
      <c r="G11" s="2628"/>
      <c r="H11" s="2628"/>
      <c r="I11" s="2628"/>
      <c r="J11" s="2628"/>
      <c r="K11" s="2629"/>
    </row>
    <row r="12" spans="1:11" ht="15" customHeight="1">
      <c r="A12" s="943"/>
      <c r="B12" s="2634" t="s">
        <v>1429</v>
      </c>
      <c r="C12" s="952">
        <v>0.1</v>
      </c>
      <c r="D12" s="2634" t="s">
        <v>436</v>
      </c>
      <c r="E12" s="2628"/>
      <c r="F12" s="2628"/>
      <c r="G12" s="2628"/>
      <c r="H12" s="2628"/>
      <c r="I12" s="2628"/>
      <c r="J12" s="2628"/>
      <c r="K12" s="2629"/>
    </row>
    <row r="13" spans="1:11" ht="15" customHeight="1">
      <c r="A13" s="943"/>
      <c r="B13" s="2634" t="s">
        <v>1430</v>
      </c>
      <c r="C13" s="952">
        <v>5</v>
      </c>
      <c r="D13" s="2634" t="s">
        <v>149</v>
      </c>
      <c r="E13" s="2628"/>
      <c r="F13" s="2628"/>
      <c r="G13" s="2628"/>
      <c r="H13" s="2628"/>
      <c r="I13" s="2628"/>
      <c r="J13" s="2628"/>
      <c r="K13" s="2629"/>
    </row>
    <row r="14" spans="1:11" ht="15" customHeight="1">
      <c r="A14" s="943"/>
      <c r="B14" s="2634" t="s">
        <v>1431</v>
      </c>
      <c r="C14" s="952">
        <v>4700</v>
      </c>
      <c r="D14" s="2634" t="s">
        <v>149</v>
      </c>
      <c r="E14" s="2628"/>
      <c r="F14" s="2628"/>
      <c r="G14" s="2628"/>
      <c r="H14" s="2628"/>
      <c r="I14" s="2628"/>
      <c r="J14" s="2628"/>
      <c r="K14" s="2629"/>
    </row>
    <row r="15" spans="1:11" ht="15" customHeight="1">
      <c r="A15" s="943"/>
      <c r="B15" s="2634" t="s">
        <v>1432</v>
      </c>
      <c r="C15" s="952">
        <v>4</v>
      </c>
      <c r="D15" s="2634" t="s">
        <v>149</v>
      </c>
      <c r="E15" s="2628"/>
      <c r="F15" s="2628"/>
      <c r="G15" s="2628"/>
      <c r="H15" s="2628"/>
      <c r="I15" s="2628"/>
      <c r="J15" s="2628"/>
      <c r="K15" s="2629"/>
    </row>
    <row r="16" spans="1:11" ht="15" customHeight="1" thickBot="1">
      <c r="A16" s="943"/>
      <c r="B16" s="2634" t="s">
        <v>1433</v>
      </c>
      <c r="C16" s="952">
        <v>0.65</v>
      </c>
      <c r="D16" s="2634" t="s">
        <v>142</v>
      </c>
      <c r="E16" s="2628"/>
      <c r="F16" s="2628"/>
      <c r="G16" s="2628"/>
      <c r="H16" s="2628"/>
      <c r="I16" s="2628"/>
      <c r="J16" s="2628"/>
      <c r="K16" s="2629"/>
    </row>
    <row r="17" spans="1:11" ht="15" hidden="1" customHeight="1">
      <c r="A17" s="943"/>
      <c r="B17" s="2634" t="s">
        <v>1434</v>
      </c>
      <c r="C17" s="2635">
        <f>($C$15*$C$12)/1000</f>
        <v>4.0000000000000002E-4</v>
      </c>
      <c r="D17" s="2634" t="s">
        <v>1435</v>
      </c>
      <c r="E17" s="2628"/>
      <c r="F17" s="2628"/>
      <c r="G17" s="2628"/>
      <c r="H17" s="2628"/>
      <c r="I17" s="2628"/>
      <c r="J17" s="2628"/>
      <c r="K17" s="2629"/>
    </row>
    <row r="18" spans="1:11" ht="15" hidden="1" customHeight="1">
      <c r="A18" s="943"/>
      <c r="B18" s="2634" t="s">
        <v>1436</v>
      </c>
      <c r="C18" s="2635">
        <f>$C$17*(100/$C$13)</f>
        <v>8.0000000000000002E-3</v>
      </c>
      <c r="D18" s="2634" t="s">
        <v>1435</v>
      </c>
      <c r="E18" s="2628"/>
      <c r="F18" s="2628"/>
      <c r="G18" s="2628"/>
      <c r="H18" s="2628"/>
      <c r="I18" s="2628"/>
      <c r="J18" s="2628"/>
      <c r="K18" s="2629"/>
    </row>
    <row r="19" spans="1:11" ht="15" hidden="1" customHeight="1">
      <c r="A19" s="943"/>
      <c r="B19" s="2634" t="s">
        <v>1437</v>
      </c>
      <c r="C19" s="2635">
        <f>$C$17*($C$14/$C$13)</f>
        <v>0.376</v>
      </c>
      <c r="D19" s="2634" t="s">
        <v>1435</v>
      </c>
      <c r="E19" s="2628"/>
      <c r="F19" s="2628"/>
      <c r="G19" s="2628"/>
      <c r="H19" s="2628"/>
      <c r="I19" s="2628"/>
      <c r="J19" s="2628"/>
      <c r="K19" s="2629"/>
    </row>
    <row r="20" spans="1:11" ht="15" hidden="1" customHeight="1">
      <c r="A20" s="943"/>
      <c r="B20" s="2634" t="s">
        <v>1438</v>
      </c>
      <c r="C20" s="2635">
        <f>$C$17/2</f>
        <v>2.0000000000000001E-4</v>
      </c>
      <c r="D20" s="2634" t="s">
        <v>1435</v>
      </c>
      <c r="E20" s="2628"/>
      <c r="F20" s="2628"/>
      <c r="G20" s="2628"/>
      <c r="H20" s="2628"/>
      <c r="I20" s="2628"/>
      <c r="J20" s="2628"/>
      <c r="K20" s="2629"/>
    </row>
    <row r="21" spans="1:11" ht="15" hidden="1" customHeight="1">
      <c r="A21" s="943"/>
      <c r="B21" s="2634" t="s">
        <v>1439</v>
      </c>
      <c r="C21" s="2635">
        <f>$C$18/2</f>
        <v>4.0000000000000001E-3</v>
      </c>
      <c r="D21" s="2634" t="s">
        <v>1435</v>
      </c>
      <c r="E21" s="2628"/>
      <c r="F21" s="2628"/>
      <c r="G21" s="2628"/>
      <c r="H21" s="2628"/>
      <c r="I21" s="2628"/>
      <c r="J21" s="2628"/>
      <c r="K21" s="2629"/>
    </row>
    <row r="22" spans="1:11" ht="15" hidden="1" customHeight="1" thickBot="1">
      <c r="A22" s="943"/>
      <c r="B22" s="2634" t="s">
        <v>1440</v>
      </c>
      <c r="C22" s="2635">
        <f>$C$19/2</f>
        <v>0.188</v>
      </c>
      <c r="D22" s="2634" t="s">
        <v>1435</v>
      </c>
      <c r="E22" s="2628"/>
      <c r="F22" s="2628"/>
      <c r="G22" s="2628"/>
      <c r="H22" s="2628"/>
      <c r="I22" s="2628"/>
      <c r="J22" s="2628"/>
      <c r="K22" s="2629"/>
    </row>
    <row r="23" spans="1:11" ht="15" customHeight="1">
      <c r="A23" s="943"/>
      <c r="B23" s="2634" t="s">
        <v>1441</v>
      </c>
      <c r="C23" s="2636">
        <f>$C$21*98</f>
        <v>0.39200000000000002</v>
      </c>
      <c r="D23" s="2634" t="s">
        <v>142</v>
      </c>
      <c r="E23" s="2628"/>
      <c r="F23" s="2628"/>
      <c r="G23" s="2628"/>
      <c r="H23" s="2628"/>
      <c r="I23" s="2628"/>
      <c r="J23" s="2628"/>
      <c r="K23" s="2629"/>
    </row>
    <row r="24" spans="1:11" ht="15" customHeight="1" thickBot="1">
      <c r="A24" s="943"/>
      <c r="B24" s="2634" t="s">
        <v>1442</v>
      </c>
      <c r="C24" s="2637">
        <f>$C$21*150</f>
        <v>0.6</v>
      </c>
      <c r="D24" s="2634" t="s">
        <v>142</v>
      </c>
      <c r="E24" s="2628"/>
      <c r="F24" s="2628"/>
      <c r="G24" s="2628"/>
      <c r="H24" s="2628"/>
      <c r="I24" s="2628"/>
      <c r="J24" s="2628"/>
      <c r="K24" s="2629"/>
    </row>
    <row r="25" spans="1:11" ht="15" hidden="1" customHeight="1">
      <c r="A25" s="943"/>
      <c r="B25" s="2634" t="s">
        <v>1443</v>
      </c>
      <c r="C25" s="2635">
        <f>$C$16/150</f>
        <v>4.3333333333333331E-3</v>
      </c>
      <c r="D25" s="2634" t="s">
        <v>1435</v>
      </c>
      <c r="E25" s="2628"/>
      <c r="F25" s="2628"/>
      <c r="G25" s="2628"/>
      <c r="H25" s="2628"/>
      <c r="I25" s="2628"/>
      <c r="J25" s="2628"/>
      <c r="K25" s="2629"/>
    </row>
    <row r="26" spans="1:11" ht="15" hidden="1" customHeight="1">
      <c r="A26" s="943"/>
      <c r="B26" s="2634" t="s">
        <v>1444</v>
      </c>
      <c r="C26" s="2635">
        <f>C25-C21</f>
        <v>3.3333333333333305E-4</v>
      </c>
      <c r="D26" s="2634" t="s">
        <v>1435</v>
      </c>
      <c r="E26" s="2628"/>
      <c r="F26" s="2628"/>
      <c r="G26" s="2628"/>
      <c r="H26" s="2628"/>
      <c r="I26" s="2628"/>
      <c r="J26" s="2628"/>
      <c r="K26" s="2629"/>
    </row>
    <row r="27" spans="1:11" ht="15" hidden="1" customHeight="1">
      <c r="A27" s="943"/>
      <c r="B27" s="2634" t="s">
        <v>1445</v>
      </c>
      <c r="C27" s="2635">
        <f>C21-C25</f>
        <v>-3.3333333333333305E-4</v>
      </c>
      <c r="D27" s="2634" t="s">
        <v>1435</v>
      </c>
      <c r="E27" s="2628"/>
      <c r="F27" s="2628"/>
      <c r="G27" s="2628"/>
      <c r="H27" s="2628"/>
      <c r="I27" s="2628"/>
      <c r="J27" s="2628"/>
      <c r="K27" s="2629"/>
    </row>
    <row r="28" spans="1:11" ht="15" customHeight="1">
      <c r="A28" s="943"/>
      <c r="B28" s="2634"/>
      <c r="C28" s="2638"/>
      <c r="D28" s="2634"/>
      <c r="E28" s="2628"/>
      <c r="F28" s="2628"/>
      <c r="G28" s="2628"/>
      <c r="H28" s="2628"/>
      <c r="I28" s="2628"/>
      <c r="J28" s="2628"/>
      <c r="K28" s="2629"/>
    </row>
    <row r="29" spans="1:11" ht="15" customHeight="1" thickBot="1">
      <c r="A29" s="943"/>
      <c r="B29" s="2639" t="s">
        <v>1446</v>
      </c>
      <c r="C29" s="2640"/>
      <c r="D29" s="2634"/>
      <c r="E29" s="2628"/>
      <c r="F29" s="2628"/>
      <c r="G29" s="2628"/>
      <c r="H29" s="2628"/>
      <c r="I29" s="2628"/>
      <c r="J29" s="2628"/>
      <c r="K29" s="2629"/>
    </row>
    <row r="30" spans="1:11" ht="15" customHeight="1">
      <c r="A30" s="943"/>
      <c r="B30" s="951" t="s">
        <v>1447</v>
      </c>
      <c r="C30" s="954">
        <f>($C$26*150)*($C$14/100)</f>
        <v>2.3499999999999983</v>
      </c>
      <c r="D30" s="951" t="s">
        <v>141</v>
      </c>
      <c r="E30" s="945"/>
      <c r="F30" s="945"/>
      <c r="G30" s="945"/>
      <c r="H30" s="945"/>
      <c r="I30" s="945"/>
      <c r="J30" s="945"/>
      <c r="K30" s="937"/>
    </row>
    <row r="31" spans="1:11" ht="15" customHeight="1">
      <c r="A31" s="943"/>
      <c r="B31" s="951" t="s">
        <v>1448</v>
      </c>
      <c r="C31" s="955">
        <f>((0.6666667*$C$26)*192)*($C$14/100)</f>
        <v>2.0053334335999979</v>
      </c>
      <c r="D31" s="951" t="s">
        <v>141</v>
      </c>
      <c r="E31" s="945"/>
      <c r="F31" s="945"/>
      <c r="G31" s="945"/>
      <c r="H31" s="945"/>
      <c r="I31" s="945"/>
      <c r="J31" s="945"/>
      <c r="K31" s="937"/>
    </row>
    <row r="32" spans="1:11" ht="15" customHeight="1" thickBot="1">
      <c r="A32" s="943"/>
      <c r="B32" s="951" t="s">
        <v>1449</v>
      </c>
      <c r="C32" s="953">
        <f>($C$26*134)*($C$14/100)</f>
        <v>2.0993333333333317</v>
      </c>
      <c r="D32" s="951" t="s">
        <v>141</v>
      </c>
      <c r="E32" s="945"/>
      <c r="F32" s="945"/>
      <c r="G32" s="945"/>
      <c r="H32" s="945"/>
      <c r="I32" s="945"/>
      <c r="J32" s="945"/>
      <c r="K32" s="937"/>
    </row>
    <row r="33" spans="1:11" ht="15" customHeight="1">
      <c r="A33" s="943"/>
      <c r="B33" s="951"/>
      <c r="C33" s="956"/>
      <c r="D33" s="951"/>
      <c r="E33" s="945"/>
      <c r="F33" s="945"/>
      <c r="G33" s="945"/>
      <c r="H33" s="945"/>
      <c r="I33" s="945"/>
      <c r="J33" s="945"/>
      <c r="K33" s="937"/>
    </row>
    <row r="34" spans="1:11" ht="15" customHeight="1" thickBot="1">
      <c r="A34" s="943"/>
      <c r="B34" s="950" t="s">
        <v>1450</v>
      </c>
      <c r="C34" s="957"/>
      <c r="D34" s="951"/>
      <c r="E34" s="945"/>
      <c r="F34" s="1236"/>
      <c r="G34" s="1236"/>
      <c r="H34" s="945"/>
      <c r="I34" s="945"/>
      <c r="J34" s="945"/>
      <c r="K34" s="937"/>
    </row>
    <row r="35" spans="1:11" ht="15" customHeight="1">
      <c r="A35" s="943"/>
      <c r="B35" s="958" t="s">
        <v>1451</v>
      </c>
      <c r="C35" s="954">
        <f>($C$27*100)*($C$14/100)</f>
        <v>-1.5666666666666653</v>
      </c>
      <c r="D35" s="951" t="s">
        <v>141</v>
      </c>
      <c r="E35" s="945"/>
      <c r="F35" s="1236"/>
      <c r="G35" s="1236"/>
      <c r="H35" s="945"/>
      <c r="I35" s="945"/>
      <c r="J35" s="945"/>
      <c r="K35" s="937"/>
    </row>
    <row r="36" spans="1:11" ht="15" customHeight="1">
      <c r="A36" s="943"/>
      <c r="B36" s="951" t="s">
        <v>1452</v>
      </c>
      <c r="C36" s="955">
        <f>(2*($C$27*100))*($C$14/100)</f>
        <v>-3.1333333333333306</v>
      </c>
      <c r="D36" s="951" t="s">
        <v>141</v>
      </c>
      <c r="E36" s="945"/>
      <c r="F36" s="1236"/>
      <c r="G36" s="1236"/>
      <c r="H36" s="945"/>
      <c r="I36" s="945"/>
      <c r="J36" s="945"/>
      <c r="K36" s="937"/>
    </row>
    <row r="37" spans="1:11" ht="15" customHeight="1" thickBot="1">
      <c r="A37" s="943"/>
      <c r="B37" s="951" t="s">
        <v>1453</v>
      </c>
      <c r="C37" s="953">
        <f>(2*($C$27*84))*($C$14/100)</f>
        <v>-2.6319999999999979</v>
      </c>
      <c r="D37" s="951" t="s">
        <v>141</v>
      </c>
      <c r="E37" s="945"/>
      <c r="F37" s="1236"/>
      <c r="G37" s="1236"/>
      <c r="H37" s="945"/>
      <c r="I37" s="945"/>
      <c r="J37" s="945"/>
      <c r="K37" s="937"/>
    </row>
    <row r="38" spans="1:11" ht="15" customHeight="1">
      <c r="A38" s="943"/>
      <c r="B38" s="945"/>
      <c r="C38" s="945"/>
      <c r="D38" s="945"/>
      <c r="E38" s="945"/>
      <c r="F38" s="945"/>
      <c r="G38" s="945"/>
      <c r="H38" s="945"/>
      <c r="I38" s="945"/>
      <c r="J38" s="945"/>
      <c r="K38" s="937"/>
    </row>
    <row r="39" spans="1:11" ht="15" customHeight="1">
      <c r="A39" s="943"/>
      <c r="B39" s="945"/>
      <c r="C39" s="945"/>
      <c r="D39" s="945"/>
      <c r="E39" s="945"/>
      <c r="F39" s="945"/>
      <c r="G39" s="945"/>
      <c r="H39" s="945"/>
      <c r="I39" s="945"/>
      <c r="J39" s="945"/>
      <c r="K39" s="937"/>
    </row>
    <row r="40" spans="1:11" ht="15" customHeight="1">
      <c r="A40" s="943"/>
      <c r="B40" s="945"/>
      <c r="C40" s="945"/>
      <c r="D40" s="945"/>
      <c r="E40" s="945"/>
      <c r="F40" s="945"/>
      <c r="G40" s="945"/>
      <c r="H40" s="945"/>
      <c r="I40" s="945"/>
      <c r="J40" s="945"/>
      <c r="K40" s="937"/>
    </row>
    <row r="41" spans="1:11" ht="15" customHeight="1">
      <c r="A41" s="943"/>
      <c r="B41" s="945"/>
      <c r="C41" s="945"/>
      <c r="D41" s="945"/>
      <c r="E41" s="945"/>
      <c r="F41" s="945"/>
      <c r="G41" s="945"/>
      <c r="H41" s="945"/>
      <c r="I41" s="945"/>
      <c r="J41" s="945"/>
      <c r="K41" s="937"/>
    </row>
    <row r="42" spans="1:11" ht="15" customHeight="1">
      <c r="A42" s="943"/>
      <c r="B42" s="945"/>
      <c r="C42" s="945"/>
      <c r="D42" s="945"/>
      <c r="E42" s="945"/>
      <c r="F42" s="945"/>
      <c r="G42" s="945"/>
      <c r="H42" s="945"/>
      <c r="I42" s="945"/>
      <c r="J42" s="945"/>
      <c r="K42" s="937"/>
    </row>
    <row r="43" spans="1:11" ht="15" customHeight="1">
      <c r="A43" s="943"/>
      <c r="B43" s="945"/>
      <c r="C43" s="945"/>
      <c r="D43" s="945"/>
      <c r="E43" s="945"/>
      <c r="F43" s="945"/>
      <c r="G43" s="945"/>
      <c r="H43" s="945"/>
      <c r="I43" s="945"/>
      <c r="J43" s="945"/>
      <c r="K43" s="937"/>
    </row>
    <row r="44" spans="1:11" ht="15" customHeight="1">
      <c r="A44" s="943"/>
      <c r="B44" s="945"/>
      <c r="C44" s="945"/>
      <c r="D44" s="945"/>
      <c r="E44" s="945"/>
      <c r="F44" s="945"/>
      <c r="G44" s="945"/>
      <c r="H44" s="945"/>
      <c r="I44" s="945"/>
      <c r="J44" s="945"/>
      <c r="K44" s="937"/>
    </row>
    <row r="45" spans="1:11" ht="15" customHeight="1">
      <c r="A45" s="943"/>
      <c r="B45" s="945"/>
      <c r="C45" s="945"/>
      <c r="D45" s="945"/>
      <c r="E45" s="945"/>
      <c r="F45" s="945"/>
      <c r="G45" s="945"/>
      <c r="H45" s="945"/>
      <c r="I45" s="945"/>
      <c r="J45" s="945"/>
      <c r="K45" s="937"/>
    </row>
    <row r="46" spans="1:11" ht="15" customHeight="1">
      <c r="A46" s="943"/>
      <c r="B46" s="945"/>
      <c r="C46" s="945"/>
      <c r="D46" s="945"/>
      <c r="E46" s="945"/>
      <c r="F46" s="945"/>
      <c r="G46" s="945"/>
      <c r="H46" s="945"/>
      <c r="I46" s="945"/>
      <c r="J46" s="945"/>
      <c r="K46" s="937"/>
    </row>
    <row r="47" spans="1:11" ht="15" customHeight="1">
      <c r="A47" s="943"/>
      <c r="B47" s="945"/>
      <c r="C47" s="945"/>
      <c r="D47" s="945"/>
      <c r="E47" s="945"/>
      <c r="F47" s="945"/>
      <c r="G47" s="945"/>
      <c r="H47" s="945"/>
      <c r="I47" s="945"/>
      <c r="J47" s="945"/>
      <c r="K47" s="937"/>
    </row>
    <row r="48" spans="1:11" ht="15" customHeight="1">
      <c r="A48" s="943"/>
      <c r="B48" s="945"/>
      <c r="C48" s="945"/>
      <c r="D48" s="945"/>
      <c r="E48" s="945"/>
      <c r="F48" s="945"/>
      <c r="G48" s="945"/>
      <c r="H48" s="945"/>
      <c r="I48" s="945"/>
      <c r="J48" s="945"/>
      <c r="K48" s="937"/>
    </row>
    <row r="49" spans="1:11" ht="15" customHeight="1">
      <c r="A49" s="943"/>
      <c r="B49" s="945"/>
      <c r="C49" s="945"/>
      <c r="D49" s="945"/>
      <c r="E49" s="945"/>
      <c r="F49" s="945"/>
      <c r="G49" s="945"/>
      <c r="H49" s="945"/>
      <c r="I49" s="945"/>
      <c r="J49" s="945"/>
      <c r="K49" s="937"/>
    </row>
    <row r="50" spans="1:11" ht="15" customHeight="1">
      <c r="A50" s="943"/>
      <c r="B50" s="945"/>
      <c r="C50" s="945"/>
      <c r="D50" s="945"/>
      <c r="E50" s="945"/>
      <c r="F50" s="945"/>
      <c r="G50" s="945"/>
      <c r="H50" s="945"/>
      <c r="I50" s="945"/>
      <c r="J50" s="945"/>
      <c r="K50" s="937"/>
    </row>
    <row r="51" spans="1:11" ht="15" customHeight="1">
      <c r="A51" s="943"/>
      <c r="B51" s="945"/>
      <c r="C51" s="945"/>
      <c r="D51" s="945"/>
      <c r="E51" s="945"/>
      <c r="F51" s="945"/>
      <c r="G51" s="945"/>
      <c r="H51" s="945"/>
      <c r="I51" s="945"/>
      <c r="J51" s="945"/>
      <c r="K51" s="937"/>
    </row>
    <row r="52" spans="1:11" ht="15" customHeight="1">
      <c r="A52" s="943"/>
      <c r="B52" s="945"/>
      <c r="C52" s="945"/>
      <c r="D52" s="945"/>
      <c r="E52" s="945"/>
      <c r="F52" s="945"/>
      <c r="G52" s="945"/>
      <c r="H52" s="945"/>
      <c r="I52" s="945"/>
      <c r="J52" s="945"/>
      <c r="K52" s="937"/>
    </row>
    <row r="53" spans="1:11" ht="15" customHeight="1">
      <c r="A53" s="943"/>
      <c r="B53" s="945"/>
      <c r="C53" s="945"/>
      <c r="D53" s="945"/>
      <c r="E53" s="945"/>
      <c r="F53" s="945"/>
      <c r="G53" s="945"/>
      <c r="H53" s="945"/>
      <c r="I53" s="945"/>
      <c r="J53" s="945"/>
      <c r="K53" s="937"/>
    </row>
    <row r="54" spans="1:11" ht="15" customHeight="1">
      <c r="A54" s="943"/>
      <c r="B54" s="959" t="s">
        <v>959</v>
      </c>
      <c r="C54" s="945"/>
      <c r="D54" s="945"/>
      <c r="E54" s="945"/>
      <c r="F54" s="945"/>
      <c r="G54" s="945"/>
      <c r="H54" s="945"/>
      <c r="I54" s="945"/>
      <c r="J54" s="945"/>
      <c r="K54" s="937"/>
    </row>
    <row r="55" spans="1:11" ht="15" customHeight="1">
      <c r="A55" s="939"/>
      <c r="B55" s="945"/>
      <c r="C55" s="945"/>
      <c r="D55" s="945"/>
      <c r="E55" s="945"/>
      <c r="F55" s="945"/>
      <c r="G55" s="945"/>
      <c r="H55" s="945"/>
      <c r="I55" s="945"/>
      <c r="J55" s="945"/>
      <c r="K55" s="937"/>
    </row>
    <row r="56" spans="1:11" ht="15" customHeight="1">
      <c r="A56" s="939"/>
      <c r="B56" s="945"/>
      <c r="C56" s="945"/>
      <c r="D56" s="945"/>
      <c r="E56" s="945"/>
      <c r="F56" s="945"/>
      <c r="G56" s="945"/>
      <c r="H56" s="945"/>
      <c r="I56" s="945"/>
      <c r="J56" s="945"/>
      <c r="K56" s="937"/>
    </row>
    <row r="57" spans="1:11" ht="15" customHeight="1">
      <c r="A57" s="939"/>
      <c r="B57" s="945"/>
      <c r="C57" s="945"/>
      <c r="D57" s="945"/>
      <c r="E57" s="945"/>
      <c r="F57" s="945"/>
      <c r="G57" s="945"/>
      <c r="H57" s="945"/>
      <c r="I57" s="945"/>
      <c r="J57" s="945"/>
      <c r="K57" s="937"/>
    </row>
    <row r="58" spans="1:11" ht="15" customHeight="1">
      <c r="A58" s="939"/>
      <c r="B58" s="945"/>
      <c r="C58" s="945"/>
      <c r="D58" s="945"/>
      <c r="E58" s="945"/>
      <c r="F58" s="945"/>
      <c r="G58" s="945"/>
      <c r="H58" s="945"/>
      <c r="I58" s="945"/>
      <c r="J58" s="945"/>
      <c r="K58" s="937"/>
    </row>
    <row r="59" spans="1:11" ht="15" customHeight="1">
      <c r="A59" s="939"/>
      <c r="B59" s="945"/>
      <c r="C59" s="945"/>
      <c r="D59" s="945"/>
      <c r="E59" s="945"/>
      <c r="F59" s="945"/>
      <c r="G59" s="945"/>
      <c r="H59" s="945"/>
      <c r="I59" s="945"/>
      <c r="J59" s="945"/>
      <c r="K59" s="937"/>
    </row>
    <row r="60" spans="1:11" ht="15" customHeight="1">
      <c r="A60" s="939"/>
      <c r="B60" s="945"/>
      <c r="C60" s="945"/>
      <c r="D60" s="945"/>
      <c r="E60" s="945"/>
      <c r="F60" s="945"/>
      <c r="G60" s="945"/>
      <c r="H60" s="945"/>
      <c r="I60" s="945"/>
      <c r="J60" s="945"/>
      <c r="K60" s="937"/>
    </row>
    <row r="61" spans="1:11" ht="15" customHeight="1">
      <c r="A61" s="939"/>
      <c r="B61" s="945"/>
      <c r="C61" s="945"/>
      <c r="D61" s="945"/>
      <c r="E61" s="945"/>
      <c r="F61" s="945"/>
      <c r="G61" s="945"/>
      <c r="H61" s="945"/>
      <c r="I61" s="945"/>
      <c r="J61" s="945"/>
      <c r="K61" s="937"/>
    </row>
    <row r="62" spans="1:11" ht="15" customHeight="1">
      <c r="A62" s="939"/>
      <c r="B62" s="945"/>
      <c r="C62" s="945"/>
      <c r="D62" s="945"/>
      <c r="E62" s="945"/>
      <c r="F62" s="945"/>
      <c r="G62" s="945"/>
      <c r="H62" s="945"/>
      <c r="I62" s="945"/>
      <c r="J62" s="945"/>
      <c r="K62" s="937"/>
    </row>
    <row r="63" spans="1:11" ht="15" customHeight="1">
      <c r="A63" s="939"/>
      <c r="B63" s="945"/>
      <c r="C63" s="945"/>
      <c r="D63" s="945"/>
      <c r="E63" s="945"/>
      <c r="F63" s="945"/>
      <c r="G63" s="945"/>
      <c r="H63" s="945"/>
      <c r="I63" s="945"/>
      <c r="J63" s="945"/>
      <c r="K63" s="937"/>
    </row>
    <row r="64" spans="1:11" ht="15" customHeight="1">
      <c r="A64" s="939"/>
      <c r="B64" s="945"/>
      <c r="C64" s="945"/>
      <c r="D64" s="945"/>
      <c r="E64" s="945"/>
      <c r="F64" s="945"/>
      <c r="G64" s="945"/>
      <c r="H64" s="945"/>
      <c r="I64" s="945"/>
      <c r="J64" s="945"/>
      <c r="K64" s="937"/>
    </row>
    <row r="65" spans="1:11" ht="15" customHeight="1">
      <c r="A65" s="939"/>
      <c r="B65" s="945"/>
      <c r="C65" s="945"/>
      <c r="D65" s="945"/>
      <c r="E65" s="945"/>
      <c r="F65" s="945"/>
      <c r="G65" s="945"/>
      <c r="H65" s="945"/>
      <c r="I65" s="945"/>
      <c r="J65" s="945"/>
      <c r="K65" s="937"/>
    </row>
    <row r="66" spans="1:11" ht="15" customHeight="1">
      <c r="A66" s="939"/>
      <c r="B66" s="945"/>
      <c r="C66" s="945"/>
      <c r="D66" s="945"/>
      <c r="E66" s="945"/>
      <c r="F66" s="945"/>
      <c r="G66" s="945"/>
      <c r="H66" s="945"/>
      <c r="I66" s="945"/>
      <c r="J66" s="945"/>
      <c r="K66" s="937"/>
    </row>
    <row r="67" spans="1:11" ht="15" customHeight="1">
      <c r="A67" s="939"/>
      <c r="B67" s="945"/>
      <c r="C67" s="945"/>
      <c r="D67" s="945"/>
      <c r="E67" s="945"/>
      <c r="F67" s="945"/>
      <c r="G67" s="945"/>
      <c r="H67" s="945"/>
      <c r="I67" s="945"/>
      <c r="J67" s="945"/>
      <c r="K67" s="937"/>
    </row>
    <row r="68" spans="1:11" ht="15" customHeight="1">
      <c r="A68" s="939"/>
      <c r="B68" s="945"/>
      <c r="C68" s="945"/>
      <c r="D68" s="945"/>
      <c r="E68" s="945"/>
      <c r="F68" s="945"/>
      <c r="G68" s="945"/>
      <c r="H68" s="945"/>
      <c r="I68" s="945"/>
      <c r="J68" s="945"/>
      <c r="K68" s="937"/>
    </row>
    <row r="69" spans="1:11" ht="15" customHeight="1">
      <c r="A69" s="939"/>
      <c r="B69" s="945"/>
      <c r="C69" s="945"/>
      <c r="D69" s="945"/>
      <c r="E69" s="945"/>
      <c r="F69" s="945"/>
      <c r="G69" s="945"/>
      <c r="H69" s="945"/>
      <c r="I69" s="945"/>
      <c r="J69" s="945"/>
      <c r="K69" s="937"/>
    </row>
    <row r="70" spans="1:11" ht="15" customHeight="1">
      <c r="A70" s="939"/>
      <c r="B70" s="945"/>
      <c r="C70" s="945"/>
      <c r="D70" s="945"/>
      <c r="E70" s="945"/>
      <c r="F70" s="945"/>
      <c r="G70" s="945"/>
      <c r="H70" s="945"/>
      <c r="I70" s="945"/>
      <c r="J70" s="945"/>
      <c r="K70" s="937"/>
    </row>
    <row r="71" spans="1:11" ht="15" customHeight="1">
      <c r="A71" s="939"/>
      <c r="B71" s="945"/>
      <c r="C71" s="945"/>
      <c r="D71" s="945"/>
      <c r="E71" s="945"/>
      <c r="F71" s="945"/>
      <c r="G71" s="945"/>
      <c r="H71" s="945"/>
      <c r="I71" s="945"/>
      <c r="J71" s="945"/>
      <c r="K71" s="937"/>
    </row>
    <row r="72" spans="1:11" ht="15" customHeight="1">
      <c r="A72" s="939"/>
      <c r="B72" s="945"/>
      <c r="C72" s="945"/>
      <c r="D72" s="945"/>
      <c r="E72" s="945"/>
      <c r="F72" s="945"/>
      <c r="G72" s="945"/>
      <c r="H72" s="945"/>
      <c r="I72" s="945"/>
      <c r="J72" s="945"/>
      <c r="K72" s="937"/>
    </row>
    <row r="73" spans="1:11" ht="15" customHeight="1">
      <c r="A73" s="939"/>
      <c r="B73" s="945"/>
      <c r="C73" s="945"/>
      <c r="D73" s="945"/>
      <c r="E73" s="945"/>
      <c r="F73" s="945"/>
      <c r="G73" s="945"/>
      <c r="H73" s="945"/>
      <c r="I73" s="945"/>
      <c r="J73" s="945"/>
      <c r="K73" s="937"/>
    </row>
    <row r="74" spans="1:11" ht="15" customHeight="1">
      <c r="A74" s="939"/>
      <c r="B74" s="945"/>
      <c r="C74" s="945"/>
      <c r="D74" s="945"/>
      <c r="E74" s="945"/>
      <c r="F74" s="945"/>
      <c r="G74" s="945"/>
      <c r="H74" s="945"/>
      <c r="I74" s="945"/>
      <c r="J74" s="945"/>
      <c r="K74" s="937"/>
    </row>
    <row r="75" spans="1:11" ht="15" customHeight="1">
      <c r="A75" s="939"/>
      <c r="B75" s="945"/>
      <c r="C75" s="945"/>
      <c r="D75" s="945"/>
      <c r="E75" s="945"/>
      <c r="F75" s="945"/>
      <c r="G75" s="945"/>
      <c r="H75" s="945"/>
      <c r="I75" s="945"/>
      <c r="J75" s="945"/>
      <c r="K75" s="937"/>
    </row>
    <row r="76" spans="1:11" ht="15" customHeight="1">
      <c r="A76" s="960"/>
      <c r="B76" s="961"/>
      <c r="C76" s="961"/>
      <c r="D76" s="961"/>
      <c r="E76" s="961"/>
      <c r="F76" s="961"/>
      <c r="G76" s="4196" t="s">
        <v>1454</v>
      </c>
      <c r="H76" s="4196"/>
      <c r="I76" s="4196"/>
      <c r="J76" s="4196"/>
      <c r="K76" s="937"/>
    </row>
    <row r="77" spans="1:11" ht="15" customHeight="1">
      <c r="A77" s="4197" t="s">
        <v>1455</v>
      </c>
      <c r="B77" s="4197"/>
      <c r="C77" s="4197"/>
      <c r="D77" s="4197"/>
      <c r="E77" s="4197"/>
      <c r="F77" s="2317"/>
      <c r="G77" s="4196" t="s">
        <v>157</v>
      </c>
      <c r="H77" s="4196"/>
      <c r="I77" s="4196"/>
      <c r="J77" s="4196"/>
      <c r="K77" s="937"/>
    </row>
    <row r="78" spans="1:11" ht="15" customHeight="1">
      <c r="A78" s="937"/>
      <c r="B78" s="937"/>
      <c r="C78" s="937"/>
      <c r="D78" s="937"/>
      <c r="E78" s="937"/>
      <c r="F78" s="937"/>
      <c r="G78" s="937"/>
      <c r="H78" s="937"/>
      <c r="I78" s="937"/>
      <c r="J78" s="937"/>
      <c r="K78" s="937"/>
    </row>
  </sheetData>
  <sheetProtection sheet="1" objects="1" scenarios="1"/>
  <mergeCells count="7">
    <mergeCell ref="A1:B1"/>
    <mergeCell ref="C1:F1"/>
    <mergeCell ref="I1:J1"/>
    <mergeCell ref="G76:J76"/>
    <mergeCell ref="A77:E77"/>
    <mergeCell ref="G77:J77"/>
    <mergeCell ref="A2:B2"/>
  </mergeCells>
  <conditionalFormatting sqref="D29:D37">
    <cfRule type="expression" dxfId="1" priority="6" stopIfTrue="1">
      <formula>ISERROR(D29)</formula>
    </cfRule>
  </conditionalFormatting>
  <conditionalFormatting sqref="C29:C37">
    <cfRule type="cellIs" dxfId="0" priority="5" operator="lessThan">
      <formula>0</formula>
    </cfRule>
  </conditionalFormatting>
  <hyperlinks>
    <hyperlink ref="G76" r:id="rId1"/>
    <hyperlink ref="G77" r:id="rId2"/>
  </hyperlinks>
  <printOptions horizontalCentered="1"/>
  <pageMargins left="0.51181102362204722" right="0.51181102362204722" top="0.55118110236220474" bottom="0.70866141732283472" header="0.31496062992125984" footer="0.31496062992125984"/>
  <pageSetup paperSize="9" scale="75" orientation="portrait" horizontalDpi="4294967293"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INDEX</vt:lpstr>
      <vt:lpstr>General Calc's</vt:lpstr>
      <vt:lpstr>Extract Calc</vt:lpstr>
      <vt:lpstr>Beer Calc</vt:lpstr>
      <vt:lpstr>Gluten-Free</vt:lpstr>
      <vt:lpstr>Primer</vt:lpstr>
      <vt:lpstr>BJCP</vt:lpstr>
      <vt:lpstr>Wine Calc </vt:lpstr>
      <vt:lpstr>Jame's Acid Calc</vt:lpstr>
      <vt:lpstr>Jam</vt:lpstr>
      <vt:lpstr>'Beer Calc'!_Toc169764622</vt:lpstr>
      <vt:lpstr>'Extract Calc'!_Toc269412869</vt:lpstr>
      <vt:lpstr>'Beer Calc'!Print_Area</vt:lpstr>
      <vt:lpstr>BJCP!Print_Area</vt:lpstr>
      <vt:lpstr>'Extract Calc'!Print_Area</vt:lpstr>
      <vt:lpstr>'General Calc''s'!Print_Area</vt:lpstr>
      <vt:lpstr>'Gluten-Free'!Print_Area</vt:lpstr>
      <vt:lpstr>INDEX!Print_Area</vt:lpstr>
      <vt:lpstr>Jam!Print_Area</vt:lpstr>
      <vt:lpstr>'Jame''s Acid Calc'!Print_Area</vt:lpstr>
      <vt:lpstr>Primer!Print_Area</vt:lpstr>
      <vt:lpstr>'Wine Calc '!Print_Area</vt:lpstr>
    </vt:vector>
  </TitlesOfParts>
  <Company>HCData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PJL</dc:creator>
  <cp:lastModifiedBy>Peter Laycock</cp:lastModifiedBy>
  <cp:lastPrinted>2020-12-13T11:16:38Z</cp:lastPrinted>
  <dcterms:created xsi:type="dcterms:W3CDTF">2010-09-08T13:30:00Z</dcterms:created>
  <dcterms:modified xsi:type="dcterms:W3CDTF">2020-12-17T20:32:23Z</dcterms:modified>
</cp:coreProperties>
</file>